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/>
  <mc:AlternateContent xmlns:mc="http://schemas.openxmlformats.org/markup-compatibility/2006">
    <mc:Choice Requires="x15">
      <x15ac:absPath xmlns:x15ac="http://schemas.microsoft.com/office/spreadsheetml/2010/11/ac" url="https://d.docs.live.net/098916c8d4cdef03/Área de Trabalho/Compras/ANO 2023/PROCESSOS/PREGÃO ELETRÔNICO/PE 09.23 - Limpeza Urbana/"/>
    </mc:Choice>
  </mc:AlternateContent>
  <bookViews>
    <workbookView xWindow="0" yWindow="0" windowWidth="28800" windowHeight="12300" activeTab="4"/>
  </bookViews>
  <sheets>
    <sheet name="Encargos" sheetId="2" r:id="rId1"/>
    <sheet name="Funcionario" sheetId="13" r:id="rId2"/>
    <sheet name="Equipamentos" sheetId="20" r:id="rId3"/>
    <sheet name="Uniformes" sheetId="21" r:id="rId4"/>
    <sheet name="Ferramentas" sheetId="23" r:id="rId5"/>
    <sheet name="Custo Total" sheetId="26" r:id="rId6"/>
  </sheets>
  <definedNames>
    <definedName name="_xlnm.Print_Area" localSheetId="5">'Custo Total'!$A$1:$F$45</definedName>
    <definedName name="_xlnm.Print_Area" localSheetId="0">Encargos!$A$2:$D$66</definedName>
    <definedName name="_xlnm.Print_Area" localSheetId="2">Equipamentos!$A$1:$L$13</definedName>
    <definedName name="_xlnm.Print_Area" localSheetId="4">Ferramentas!$A$1:$S$28</definedName>
    <definedName name="_xlnm.Print_Area" localSheetId="1">Funcionario!$A$2:$H$65</definedName>
    <definedName name="_xlnm.Print_Area" localSheetId="3">Uniformes!$A$1:$N$14</definedName>
    <definedName name="_xlnm.Print_Titles" localSheetId="0">Encargos!$2:$5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12" i="20" l="1"/>
  <c r="J12" i="20"/>
  <c r="L12" i="20" s="1"/>
  <c r="E18" i="26"/>
  <c r="D10" i="13"/>
  <c r="C18" i="20" l="1"/>
  <c r="C50" i="26"/>
  <c r="I39" i="26" s="1"/>
  <c r="F17" i="26" s="1"/>
  <c r="D11" i="20" l="1"/>
  <c r="D10" i="20"/>
  <c r="E17" i="26" l="1"/>
  <c r="F18" i="26" l="1"/>
  <c r="H9" i="13"/>
  <c r="H11" i="13" s="1"/>
  <c r="H41" i="13" l="1"/>
  <c r="H29" i="13"/>
  <c r="H30" i="13"/>
  <c r="H16" i="13"/>
  <c r="H17" i="13"/>
  <c r="H49" i="13"/>
  <c r="H39" i="13"/>
  <c r="H22" i="13"/>
  <c r="H40" i="13"/>
  <c r="H15" i="13"/>
  <c r="H26" i="13"/>
  <c r="H38" i="13"/>
  <c r="H51" i="13"/>
  <c r="H20" i="13"/>
  <c r="H33" i="13"/>
  <c r="H27" i="13"/>
  <c r="H50" i="13"/>
  <c r="H19" i="13"/>
  <c r="H32" i="13"/>
  <c r="H37" i="13"/>
  <c r="H45" i="13"/>
  <c r="H46" i="13" s="1"/>
  <c r="H55" i="13"/>
  <c r="H56" i="13" s="1"/>
  <c r="H21" i="13"/>
  <c r="H28" i="13"/>
  <c r="H18" i="13"/>
  <c r="H31" i="13"/>
  <c r="H52" i="13" l="1"/>
  <c r="H42" i="13"/>
  <c r="H23" i="13"/>
  <c r="H34" i="13"/>
  <c r="H58" i="13" l="1"/>
  <c r="H60" i="13" s="1"/>
  <c r="D9" i="26" s="1"/>
  <c r="E9" i="26" s="1"/>
  <c r="F9" i="26" s="1"/>
  <c r="C56" i="13"/>
  <c r="D9" i="13"/>
  <c r="D11" i="13" l="1"/>
  <c r="R10" i="23" l="1"/>
  <c r="S10" i="23" s="1"/>
  <c r="G10" i="20" l="1"/>
  <c r="R25" i="23" l="1"/>
  <c r="S25" i="23" s="1"/>
  <c r="R26" i="23"/>
  <c r="R27" i="23"/>
  <c r="S27" i="23" l="1"/>
  <c r="S26" i="23"/>
  <c r="R24" i="23"/>
  <c r="S24" i="23" s="1"/>
  <c r="K11" i="20" l="1"/>
  <c r="L11" i="20" s="1"/>
  <c r="C66" i="2"/>
  <c r="A40" i="13" l="1"/>
  <c r="A41" i="13"/>
  <c r="C48" i="2"/>
  <c r="C44" i="2"/>
  <c r="C34" i="2"/>
  <c r="C15" i="2"/>
  <c r="C26" i="2" l="1"/>
  <c r="C37" i="2" s="1"/>
  <c r="C51" i="13" l="1"/>
  <c r="C49" i="13"/>
  <c r="D38" i="13"/>
  <c r="C60" i="2"/>
  <c r="C52" i="13" l="1"/>
  <c r="C38" i="2"/>
  <c r="C50" i="2" s="1"/>
  <c r="C22" i="13" l="1"/>
  <c r="F10" i="20" l="1"/>
  <c r="K10" i="20" s="1"/>
  <c r="L10" i="20" s="1"/>
  <c r="L13" i="20" s="1"/>
  <c r="E16" i="26" l="1"/>
  <c r="F16" i="26" s="1"/>
  <c r="M13" i="20"/>
  <c r="R23" i="23"/>
  <c r="S23" i="23" s="1"/>
  <c r="R22" i="23"/>
  <c r="S22" i="23" s="1"/>
  <c r="R21" i="23"/>
  <c r="S21" i="23" s="1"/>
  <c r="R20" i="23"/>
  <c r="S20" i="23" s="1"/>
  <c r="R19" i="23"/>
  <c r="S19" i="23" s="1"/>
  <c r="R18" i="23"/>
  <c r="S18" i="23" s="1"/>
  <c r="R17" i="23"/>
  <c r="S17" i="23" s="1"/>
  <c r="R16" i="23"/>
  <c r="S16" i="23" s="1"/>
  <c r="R15" i="23"/>
  <c r="S15" i="23" s="1"/>
  <c r="R14" i="23"/>
  <c r="S14" i="23" s="1"/>
  <c r="R13" i="23"/>
  <c r="S13" i="23" s="1"/>
  <c r="R12" i="23"/>
  <c r="S12" i="23" s="1"/>
  <c r="R11" i="23"/>
  <c r="S11" i="23" s="1"/>
  <c r="M13" i="21" l="1"/>
  <c r="N13" i="21" s="1"/>
  <c r="M12" i="21"/>
  <c r="N12" i="21" s="1"/>
  <c r="M11" i="21"/>
  <c r="N11" i="21" s="1"/>
  <c r="M10" i="21"/>
  <c r="N10" i="21" s="1"/>
  <c r="N14" i="21" s="1"/>
  <c r="E14" i="26" l="1"/>
  <c r="F14" i="26" s="1"/>
  <c r="S28" i="23"/>
  <c r="E15" i="26" s="1"/>
  <c r="C15" i="13"/>
  <c r="C17" i="13"/>
  <c r="C18" i="13"/>
  <c r="C19" i="13"/>
  <c r="C20" i="13"/>
  <c r="C21" i="13"/>
  <c r="B31" i="26"/>
  <c r="B32" i="26"/>
  <c r="B30" i="26"/>
  <c r="B24" i="26"/>
  <c r="B23" i="26"/>
  <c r="C40" i="13"/>
  <c r="C16" i="13"/>
  <c r="C26" i="13"/>
  <c r="C27" i="13"/>
  <c r="C37" i="13"/>
  <c r="C39" i="13"/>
  <c r="A14" i="13"/>
  <c r="A15" i="13"/>
  <c r="B15" i="13"/>
  <c r="A16" i="13"/>
  <c r="B16" i="13"/>
  <c r="A17" i="13"/>
  <c r="B17" i="13"/>
  <c r="A18" i="13"/>
  <c r="B18" i="13"/>
  <c r="A19" i="13"/>
  <c r="B19" i="13"/>
  <c r="A20" i="13"/>
  <c r="B20" i="13"/>
  <c r="A21" i="13"/>
  <c r="B21" i="13"/>
  <c r="A22" i="13"/>
  <c r="B22" i="13"/>
  <c r="A23" i="13"/>
  <c r="A25" i="13"/>
  <c r="A26" i="13"/>
  <c r="B26" i="13"/>
  <c r="A27" i="13"/>
  <c r="B27" i="13"/>
  <c r="A28" i="13"/>
  <c r="B28" i="13"/>
  <c r="A29" i="13"/>
  <c r="B29" i="13"/>
  <c r="A30" i="13"/>
  <c r="B30" i="13"/>
  <c r="A31" i="13"/>
  <c r="B31" i="13"/>
  <c r="A32" i="13"/>
  <c r="B32" i="13"/>
  <c r="A33" i="13"/>
  <c r="B33" i="13"/>
  <c r="A34" i="13"/>
  <c r="A36" i="13"/>
  <c r="A37" i="13"/>
  <c r="B37" i="13"/>
  <c r="A38" i="13"/>
  <c r="B38" i="13"/>
  <c r="A39" i="13"/>
  <c r="B39" i="13"/>
  <c r="A42" i="13"/>
  <c r="A44" i="13"/>
  <c r="A45" i="13"/>
  <c r="B45" i="13"/>
  <c r="A46" i="13"/>
  <c r="A48" i="13"/>
  <c r="A49" i="13"/>
  <c r="B49" i="13"/>
  <c r="A50" i="13"/>
  <c r="B50" i="13"/>
  <c r="A52" i="13"/>
  <c r="A54" i="13"/>
  <c r="A55" i="13"/>
  <c r="B55" i="13"/>
  <c r="A56" i="13"/>
  <c r="A58" i="13"/>
  <c r="F15" i="26" l="1"/>
  <c r="F20" i="26" s="1"/>
  <c r="E20" i="26"/>
  <c r="C42" i="13"/>
  <c r="C34" i="13"/>
  <c r="C23" i="13"/>
  <c r="D32" i="13"/>
  <c r="D40" i="13"/>
  <c r="D31" i="13"/>
  <c r="D26" i="13"/>
  <c r="D15" i="13"/>
  <c r="D50" i="13"/>
  <c r="D30" i="13"/>
  <c r="D41" i="13"/>
  <c r="D39" i="13"/>
  <c r="D20" i="13"/>
  <c r="D17" i="13"/>
  <c r="D49" i="13"/>
  <c r="D18" i="13"/>
  <c r="D22" i="13"/>
  <c r="D27" i="13"/>
  <c r="D19" i="13"/>
  <c r="D28" i="13"/>
  <c r="D33" i="13"/>
  <c r="D55" i="13"/>
  <c r="D56" i="13" s="1"/>
  <c r="D29" i="13"/>
  <c r="D21" i="13"/>
  <c r="D16" i="13"/>
  <c r="D51" i="13"/>
  <c r="D37" i="13"/>
  <c r="C45" i="13"/>
  <c r="C46" i="13" l="1"/>
  <c r="C58" i="13" s="1"/>
  <c r="D23" i="13"/>
  <c r="D52" i="13"/>
  <c r="D42" i="13"/>
  <c r="D34" i="13"/>
  <c r="D45" i="13"/>
  <c r="D46" i="13" s="1"/>
  <c r="D58" i="13" l="1"/>
  <c r="D60" i="13" s="1"/>
  <c r="D8" i="26" s="1"/>
  <c r="E8" i="26" s="1"/>
  <c r="F8" i="26" s="1"/>
  <c r="F10" i="26" s="1"/>
  <c r="E10" i="26" l="1"/>
  <c r="F23" i="26"/>
  <c r="F24" i="26"/>
  <c r="E24" i="26" s="1"/>
  <c r="F25" i="26" l="1"/>
  <c r="F35" i="26" s="1"/>
  <c r="E23" i="26"/>
  <c r="E25" i="26" s="1"/>
  <c r="E27" i="26" s="1"/>
  <c r="F27" i="26" l="1"/>
  <c r="F31" i="26"/>
  <c r="E31" i="26" s="1"/>
  <c r="F30" i="26"/>
  <c r="F32" i="26"/>
  <c r="E32" i="26" s="1"/>
  <c r="F33" i="26" l="1"/>
  <c r="E30" i="26"/>
  <c r="E33" i="26" s="1"/>
  <c r="E35" i="26" s="1"/>
</calcChain>
</file>

<file path=xl/sharedStrings.xml><?xml version="1.0" encoding="utf-8"?>
<sst xmlns="http://schemas.openxmlformats.org/spreadsheetml/2006/main" count="405" uniqueCount="238">
  <si>
    <t>Nrº</t>
  </si>
  <si>
    <t>Categoria</t>
  </si>
  <si>
    <t>Item</t>
  </si>
  <si>
    <t>Descrição</t>
  </si>
  <si>
    <t>Percentual / Valor</t>
  </si>
  <si>
    <t>Memória de cálculo / Observações</t>
  </si>
  <si>
    <t>Grupo A - Encargos sociais básicos</t>
  </si>
  <si>
    <t>A .01</t>
  </si>
  <si>
    <t>INSS</t>
  </si>
  <si>
    <t xml:space="preserve">INSS - Artigo 22 Inciso I Lei 8.212/91 </t>
  </si>
  <si>
    <t>A .02</t>
  </si>
  <si>
    <t>FGTS</t>
  </si>
  <si>
    <t>FGTS - Artigo 15 Lei 8030/90 e Art. 7º Inciso III CF/88</t>
  </si>
  <si>
    <t>A .03</t>
  </si>
  <si>
    <t>SESI / SESC</t>
  </si>
  <si>
    <t xml:space="preserve">SESC - Artigo 3º Lei 8.036/90 </t>
  </si>
  <si>
    <t>A .04</t>
  </si>
  <si>
    <t>SENAI / SENAC</t>
  </si>
  <si>
    <t>SENAI/SENAC - Decreto 2.318/86</t>
  </si>
  <si>
    <t>A .05</t>
  </si>
  <si>
    <t>INCRA</t>
  </si>
  <si>
    <t>INCRA -  Lei 7787/89 e DL 1146/70</t>
  </si>
  <si>
    <t>A .06</t>
  </si>
  <si>
    <t>SEBRAE</t>
  </si>
  <si>
    <t xml:space="preserve">SEBRAE -  Artigo 8º Lei 8029/90 e Lei 8154/90 </t>
  </si>
  <si>
    <t>A .07</t>
  </si>
  <si>
    <t>Salário Educação</t>
  </si>
  <si>
    <t xml:space="preserve">Salário Educação - Artigo 3º Inciso I Decreto 87.043/82 </t>
  </si>
  <si>
    <t>A .08</t>
  </si>
  <si>
    <t>Riscos Ambientais do Trabalho (RAT x FAP)</t>
  </si>
  <si>
    <t>Subtotal do Grupo A</t>
  </si>
  <si>
    <t>Grupo B - Encargos que recebem a incidência do grupo A</t>
  </si>
  <si>
    <t>B .01</t>
  </si>
  <si>
    <t xml:space="preserve">13º salário </t>
  </si>
  <si>
    <t>Cálculo: [( 1/12) x 100] = 8,333%</t>
  </si>
  <si>
    <t>B .02</t>
  </si>
  <si>
    <t xml:space="preserve">Férias (incluindo 1/3 constitucional) </t>
  </si>
  <si>
    <t>B .03</t>
  </si>
  <si>
    <t>Aviso Prévio Trabalhado</t>
  </si>
  <si>
    <t>B .04</t>
  </si>
  <si>
    <t>Auxílio doença</t>
  </si>
  <si>
    <t>B .05</t>
  </si>
  <si>
    <t xml:space="preserve">Acidente de Trabalho </t>
  </si>
  <si>
    <t>B .06</t>
  </si>
  <si>
    <t xml:space="preserve">Faltas legais </t>
  </si>
  <si>
    <t>B .07</t>
  </si>
  <si>
    <t>Férias sobre licença maternidade</t>
  </si>
  <si>
    <t>B .08</t>
  </si>
  <si>
    <t>Licença paternidade</t>
  </si>
  <si>
    <t>Subtotal do Grupo B</t>
  </si>
  <si>
    <t>Grupo C - Encargos que não recebem a incidência do grupo B</t>
  </si>
  <si>
    <t>C .01</t>
  </si>
  <si>
    <t>Aviso Prévio Indenizado</t>
  </si>
  <si>
    <t>C .02</t>
  </si>
  <si>
    <t>Indenização Adicional</t>
  </si>
  <si>
    <t>C .03</t>
  </si>
  <si>
    <t>Multa do FGTS - funcionários ativos</t>
  </si>
  <si>
    <t>C .04</t>
  </si>
  <si>
    <t>Subtotal do Grupo C</t>
  </si>
  <si>
    <t>Grupo D - Incidência do Grupo A sobre o Grupo B</t>
  </si>
  <si>
    <t>D.01</t>
  </si>
  <si>
    <t>Incidência dos encargos do grupo"A" sobre os itens do grupo "B"</t>
  </si>
  <si>
    <t>Subtotal do Grupo D</t>
  </si>
  <si>
    <t>Grupo E - Incidência do FGTS sobre o Aviso Prévio Indenizado</t>
  </si>
  <si>
    <t>E.01</t>
  </si>
  <si>
    <t>Incidência do FGTS exclusivamente sobre o aviso prévio indenizado</t>
  </si>
  <si>
    <t>Cálculo = A.02 x C.01 = (0,08 x 0,00417) x 100 = 0,033%.</t>
  </si>
  <si>
    <t>E.02</t>
  </si>
  <si>
    <t>FGTS sobre afastamento superior 15 dias por acidente trabalho</t>
  </si>
  <si>
    <t>Subtotal do Grupo E</t>
  </si>
  <si>
    <t>Grupo F - Incidência do Grupo A sobre o Salário-Maternidade</t>
  </si>
  <si>
    <t>F.01</t>
  </si>
  <si>
    <t xml:space="preserve">Encargos do grupo"A" sobre salário-maternidade </t>
  </si>
  <si>
    <t>Subtotal do Grupo F</t>
  </si>
  <si>
    <t>Taxa Total de Encargos Sociais</t>
  </si>
  <si>
    <t>Insumos</t>
  </si>
  <si>
    <t>Uniforme</t>
  </si>
  <si>
    <t>Varia conforme a categoria</t>
  </si>
  <si>
    <t>Bonificação de Despesas Indiretas - BDI</t>
  </si>
  <si>
    <t>LDI</t>
  </si>
  <si>
    <t>Despesas Administrativas / Operacionais</t>
  </si>
  <si>
    <t>Outras despesas (discriminar)</t>
  </si>
  <si>
    <t>Total – Bonificação de despesas indiretas</t>
  </si>
  <si>
    <t xml:space="preserve">Tributação sobre o faturamento </t>
  </si>
  <si>
    <t>COFINS</t>
  </si>
  <si>
    <t>PIS</t>
  </si>
  <si>
    <t>Total - Tributos sobre o faturamento</t>
  </si>
  <si>
    <t>I - Salário estimado do profissional</t>
  </si>
  <si>
    <t>II - Composição da remuneração</t>
  </si>
  <si>
    <t>Salário</t>
  </si>
  <si>
    <t>Total da remuneração</t>
  </si>
  <si>
    <t>III - Encargos sociais incidentes sobre a remuneração</t>
  </si>
  <si>
    <t>Valor total de Remuneração + Encargos Sociais</t>
  </si>
  <si>
    <t>Valor Total Geral</t>
  </si>
  <si>
    <t>Auxiliar de serviços gerais</t>
  </si>
  <si>
    <t>Calça operacional</t>
  </si>
  <si>
    <t>Botina fechada com elástico, solado antiderrapante, cor preta e CA emitida pelo MET solado de borracha</t>
  </si>
  <si>
    <t>Picareta ponta e pá</t>
  </si>
  <si>
    <t>Foice com cabo</t>
  </si>
  <si>
    <t>Custo total</t>
  </si>
  <si>
    <t>Ferramentas</t>
  </si>
  <si>
    <t>Equipamentos</t>
  </si>
  <si>
    <t>II - Demais componentes</t>
  </si>
  <si>
    <t>Custo unitário</t>
  </si>
  <si>
    <t>I - Mão-de-obra</t>
  </si>
  <si>
    <t>Custo mensal</t>
  </si>
  <si>
    <t>Quantidade de postos</t>
  </si>
  <si>
    <t>Valor Total Mão-de-obra</t>
  </si>
  <si>
    <t>Carrinho de mão</t>
  </si>
  <si>
    <t>ISSQN</t>
  </si>
  <si>
    <t>Un.</t>
  </si>
  <si>
    <t>Km</t>
  </si>
  <si>
    <t>Garrafa térmica de 05 litros</t>
  </si>
  <si>
    <t>Abafador com haste atrás da nuca</t>
  </si>
  <si>
    <t>Óculos de segurança</t>
  </si>
  <si>
    <t>Chibanca</t>
  </si>
  <si>
    <t>Perneira de PVC com velcro</t>
  </si>
  <si>
    <t>Capa de chuva</t>
  </si>
  <si>
    <t>ANEXO IX . 1 - ENCARGOS</t>
  </si>
  <si>
    <t>ANEXO IX . 2 - AUXILIAR DE SERVIÇOS GERAIS - CUSTO MENSAL</t>
  </si>
  <si>
    <t>ANEXO IX . 4 - UNIFORMES - CUSTO ANUAL POR FUNCIONÁRO</t>
  </si>
  <si>
    <t>ANEXO IX . 5 - FERRAMENTAS - CUSTO ANUAL</t>
  </si>
  <si>
    <t>ANEXO IX . 6 - CUSTO TOTAL DA CONTRATAÇÃO</t>
  </si>
  <si>
    <t>Qtde.</t>
  </si>
  <si>
    <t>Par</t>
  </si>
  <si>
    <t>Riscos Ambientais de Trabalho/INSS</t>
  </si>
  <si>
    <t>C .05</t>
  </si>
  <si>
    <t>Abono de férias - 1/3 constitucional</t>
  </si>
  <si>
    <t>Cálculo: [(1/3) / 12 x 100] = 2,778%</t>
  </si>
  <si>
    <t>Abono de férias - 1/3 constitucional sobre licença maternidade</t>
  </si>
  <si>
    <t>Cálculo: {[(1/3)/12] x 0,02 x (4/12) x100]} = 0,019%</t>
  </si>
  <si>
    <t>E.03</t>
  </si>
  <si>
    <t>Incidência de FGTS sobre férias 1/3 constitucional</t>
  </si>
  <si>
    <t>Cálculo: A.02 x C.05 = (0,08x0,02778)x100 = 0,222%</t>
  </si>
  <si>
    <t>Uniformes</t>
  </si>
  <si>
    <t>Sub-total</t>
  </si>
  <si>
    <t>-</t>
  </si>
  <si>
    <t>Convenção Coletiva: (*)</t>
  </si>
  <si>
    <t>(*) A empresa deve indicar a Convenção Coletiva utilizada</t>
  </si>
  <si>
    <t>Salário base da categoria (**)</t>
  </si>
  <si>
    <t>Vale cesta</t>
  </si>
  <si>
    <t>Outros benefícios (citar)</t>
  </si>
  <si>
    <t>Insalubridade (40%)</t>
  </si>
  <si>
    <t>Seguro de vida</t>
  </si>
  <si>
    <t>MEMÓRIA DE CÁLCULO:</t>
  </si>
  <si>
    <t>1) Vale Cesta</t>
  </si>
  <si>
    <t>Objeto:</t>
  </si>
  <si>
    <t>Quantidade</t>
  </si>
  <si>
    <r>
      <t xml:space="preserve">PREFEITURA MUNICIPAL
</t>
    </r>
    <r>
      <rPr>
        <b/>
        <sz val="11"/>
        <rFont val="Arial"/>
        <family val="2"/>
      </rPr>
      <t>Secretaria de Obras e Serviços Urbanos</t>
    </r>
  </si>
  <si>
    <t>Setor requisitante: Secretaria Municipal de Obras e Serviços Urbanos</t>
  </si>
  <si>
    <t>PLANILHA ORÇAMENTÁRIA</t>
  </si>
  <si>
    <t>Unidade</t>
  </si>
  <si>
    <t>Total (R$)</t>
  </si>
  <si>
    <t xml:space="preserve">Valor Medio (R$)       </t>
  </si>
  <si>
    <t>Valor Unitário (R$) Tecno Silk</t>
  </si>
  <si>
    <t>Valor Unitário (R$)   SINAPI - 00012893</t>
  </si>
  <si>
    <t>Valor Unitário (R$)   2 S</t>
  </si>
  <si>
    <t xml:space="preserve">Valor Unitário (R$)    Uniformas   </t>
  </si>
  <si>
    <t>Valor Unitário (R$)   Resiste EPI</t>
  </si>
  <si>
    <t>Valor Unitário (R$) Fardas Express</t>
  </si>
  <si>
    <t>Valor Unitário (R$) Comtex</t>
  </si>
  <si>
    <t>Valor Unitário (R$) Util + Equipamentos</t>
  </si>
  <si>
    <t xml:space="preserve">Valor Médio (R$) </t>
  </si>
  <si>
    <t xml:space="preserve">Valor Total Médio (R$) </t>
  </si>
  <si>
    <t>Camisa de Malha com identificação de empresa</t>
  </si>
  <si>
    <t>Bota de borracha tipo sete légua</t>
  </si>
  <si>
    <t xml:space="preserve">Valor Médio (R$)  </t>
  </si>
  <si>
    <t xml:space="preserve">Valor Total Médio (R$)  </t>
  </si>
  <si>
    <t>Vassoura piaçava</t>
  </si>
  <si>
    <t>Enxada n° 02 larga</t>
  </si>
  <si>
    <t>Pá de bico n° 04</t>
  </si>
  <si>
    <t>Pá quadrada n° 04</t>
  </si>
  <si>
    <t>Luva Vaqueta</t>
  </si>
  <si>
    <t>Total Materiais Diversos (R$)</t>
  </si>
  <si>
    <t>Custo Mensal</t>
  </si>
  <si>
    <t xml:space="preserve">Custo Total </t>
  </si>
  <si>
    <t>Alex Tour</t>
  </si>
  <si>
    <t xml:space="preserve"> JGC Locações</t>
  </si>
  <si>
    <t>Claudinei dos Santos</t>
  </si>
  <si>
    <t>Protetor de roçada retratil</t>
  </si>
  <si>
    <t xml:space="preserve"> Cotta Ferragens</t>
  </si>
  <si>
    <t>Util + Equipamentos</t>
  </si>
  <si>
    <t>Deposito Santa Maria</t>
  </si>
  <si>
    <t xml:space="preserve"> Duleo</t>
  </si>
  <si>
    <t xml:space="preserve"> Cotta Materias de Construção</t>
  </si>
  <si>
    <t>Safety Supply</t>
  </si>
  <si>
    <t>Amazonas EPI</t>
  </si>
  <si>
    <t>Meghi Indústria Mecânica</t>
  </si>
  <si>
    <t>Cálculo: (0,3980 x 0,19357) x 100 = 7,704%.</t>
  </si>
  <si>
    <t>Cálculo: {[( 1462463/54796761) / 12} = 0,222%.         (5 dias de licença p/ funcionário ao ano)</t>
  </si>
  <si>
    <t>Cálculo:  {[(100%/30) x 1,4947] / 12} = 0,415%.      (Estimativa de 1,4947 ausências por ano)</t>
  </si>
  <si>
    <t>Cálculo: {((100%/30) x 15) / 12) x (717911/58981000)}= 0,051%.   (1 licença p/ ano de 15 dias )</t>
  </si>
  <si>
    <t>Cálculo: {[(100%/30) x 7 / 12} = 1,944%.              (Contrato de 12 meses)</t>
  </si>
  <si>
    <t>Cálculo: {[(8,333% x 1,416%) x  4/12] x 100} = 0,039%.  (Impacto do item férias sobre licença maternidade)</t>
  </si>
  <si>
    <t>Cálculo: {[(100% / 30) x 5] /12 } x 1,416% = 0,020%.         (1,416% dos funcionários usuf. 5 dias p/ ano)</t>
  </si>
  <si>
    <t>Cálculo: {[0,05 x (1 / 12)] x 100} = 0,417%.       (5% de ocorrência anual)</t>
  </si>
  <si>
    <t>Cálculo: [(1/12) x 3,4275%] = 0,286%.          (3,425% dos funcionários ao ano)</t>
  </si>
  <si>
    <t>Cálculo: (1 x 0,40 x 0,08 x 100) = 3,200%.         ( Multa de 40% p/ 100% dos funcionários)</t>
  </si>
  <si>
    <t>Cálculo: A.02 x B.05 = (0,08 x 0,0051) x 100 = 0,026%</t>
  </si>
  <si>
    <t>Cálculo: [(Enc. Grupo A) x (Remuneração) x (4 meses de licençapor ano) x  (Percentual de 2% dos empregados entram em licença maternidade)] = [{0,39800 x (4/12) x (2/100)} x 100]= 0,265</t>
  </si>
  <si>
    <t>SIN - 88284        Motorista de veículo leve com encargos complementares</t>
  </si>
  <si>
    <t>SIN - 92144        Caminhonete cabine simples com motor 1.6 flex, câmbio manual, potência 101/104 CV, 2 portas c/ gasolina</t>
  </si>
  <si>
    <t>H</t>
  </si>
  <si>
    <t>Tabela SINAPI
(NOV/2022)</t>
  </si>
  <si>
    <t>Caminhonete cabine simples para transporte de ferramentas (incluso motorista e gasolina) (88284 - 92144)</t>
  </si>
  <si>
    <t>Un</t>
  </si>
  <si>
    <t>ANEXO IX . 3 - EQUIPAMENTOS - CUSTO MENSAL</t>
  </si>
  <si>
    <t>Mesa quadrada 70x70 de polipropileno</t>
  </si>
  <si>
    <t>Cadeira sem braço de polipropileno</t>
  </si>
  <si>
    <t>Souart</t>
  </si>
  <si>
    <t>Maqtec</t>
  </si>
  <si>
    <t>Tenda 3x6m para alimentação</t>
  </si>
  <si>
    <t>Americanas</t>
  </si>
  <si>
    <t>Submarino</t>
  </si>
  <si>
    <t>Supermuffato</t>
  </si>
  <si>
    <t>COTAÇÃO DE PREÇOS 2022/2023</t>
  </si>
  <si>
    <t>ANEXO IX . 2 - ENCARREGADO - CUSTO MENSAL</t>
  </si>
  <si>
    <t>Salário base da categoria (***)</t>
  </si>
  <si>
    <t>(***) Foi utilizado para o cálculo o valor do sálario minimo, pois até a presente data não foi públicado a convenção para 2023. Após a publicação da convenção de 2023, será realizado o reajuste de valor.</t>
  </si>
  <si>
    <t>Valor do vale cesta conforme CCT referente a gratificação de férias e natal utilizada: R$ 221,22</t>
  </si>
  <si>
    <t>Quantidade de cestas por funcionário - ano: 12 (mensal) + 1 (gratificação de férias) + 1 (natal)</t>
  </si>
  <si>
    <t>Valor do vale cesta anual = (valor da cesta de férias e natal x 2 ) + (valor do vale cesta mensal x 12 ) x nº de funcionários</t>
  </si>
  <si>
    <t xml:space="preserve">Cotação Cesta Básica </t>
  </si>
  <si>
    <t xml:space="preserve">Somar </t>
  </si>
  <si>
    <t>Rubens</t>
  </si>
  <si>
    <t>S. Nova Era</t>
  </si>
  <si>
    <t>Araújo/Smart</t>
  </si>
  <si>
    <t>Super Mendes</t>
  </si>
  <si>
    <t>Encarregado geral de obras</t>
  </si>
  <si>
    <r>
      <t xml:space="preserve">2) Seguro de vida: </t>
    </r>
    <r>
      <rPr>
        <sz val="12"/>
        <rFont val="Arial"/>
        <family val="2"/>
      </rPr>
      <t>Conforme cotação: 15,78</t>
    </r>
  </si>
  <si>
    <t>(**) Convenção coletiva utilizada no cálculo: Sindicato dos Empregados em Empresas de Asseio e Conservação, Turismo e Hospitalidade de João Monlevade, CNPJ nº 23.942.741/0001-97, número de registro no MTE: MG 000616/2023</t>
  </si>
  <si>
    <t>Veículo para transporte de pessoal e ferramentas (40 km/dia x 23 dias) com motorista</t>
  </si>
  <si>
    <t>(**) Convenção coletiva utilizada no cálculo: Sindicato das Empresas de Coleta, Limpeza e Industrialização do Lixo de Minas Gerais, CNPJ nº 65.174.153/0001-09, número de registro no MTE: MG 000352/2023</t>
  </si>
  <si>
    <t>Custo Produtivo (R$/H)</t>
  </si>
  <si>
    <t>Custo Improdutivo (R$/H)</t>
  </si>
  <si>
    <t xml:space="preserve">Valor Total  (R$)       </t>
  </si>
  <si>
    <t>Roçadeira costal / lateral FS 220 2.3 CV ou similar (Tabela SICRO - DNIT)</t>
  </si>
  <si>
    <t>Valor do vale cesta mensal: R$ 147,63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</si>
</sst>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4" formatCode="_-&quot;R$&quot;\ * #,##0.00_-;\-&quot;R$&quot;\ * #,##0.00_-;_-&quot;R$&quot;\ * &quot;-&quot;??_-;_-@_-"/>
    <numFmt numFmtId="164" formatCode="_(* #,##0.00_);_(* \(#,##0.00\);_(* &quot;-&quot;??_);_(@_)"/>
    <numFmt numFmtId="165" formatCode="_(&quot;R$ &quot;* #,##0.00_);_(&quot;R$ &quot;* \(#,##0.00\);_(&quot;R$ &quot;* \-??_);_(@_)"/>
    <numFmt numFmtId="166" formatCode="_(* #,##0.00_);_(* \(#,##0.00\);_(* \-??_);_(@_)"/>
    <numFmt numFmtId="167" formatCode="0.000%"/>
    <numFmt numFmtId="168" formatCode="0.000000"/>
    <numFmt numFmtId="169" formatCode="&quot;R$&quot;\ #,##0.00"/>
  </numFmts>
  <fonts count="34"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  <charset val="1"/>
    </font>
    <font>
      <sz val="11"/>
      <color indexed="9"/>
      <name val="Calibri"/>
      <family val="2"/>
      <charset val="1"/>
    </font>
    <font>
      <sz val="11"/>
      <color indexed="17"/>
      <name val="Calibri"/>
      <family val="2"/>
      <charset val="1"/>
    </font>
    <font>
      <sz val="9"/>
      <color indexed="10"/>
      <name val="Geneva"/>
      <family val="2"/>
      <charset val="1"/>
    </font>
    <font>
      <sz val="10"/>
      <name val="Arial"/>
      <family val="2"/>
      <charset val="1"/>
    </font>
    <font>
      <b/>
      <sz val="11"/>
      <color indexed="52"/>
      <name val="Calibri"/>
      <family val="2"/>
      <charset val="1"/>
    </font>
    <font>
      <b/>
      <sz val="11"/>
      <color indexed="9"/>
      <name val="Calibri"/>
      <family val="2"/>
      <charset val="1"/>
    </font>
    <font>
      <sz val="11"/>
      <color indexed="52"/>
      <name val="Calibri"/>
      <family val="2"/>
      <charset val="1"/>
    </font>
    <font>
      <sz val="11"/>
      <color indexed="62"/>
      <name val="Calibri"/>
      <family val="2"/>
      <charset val="1"/>
    </font>
    <font>
      <sz val="11"/>
      <color indexed="20"/>
      <name val="Calibri"/>
      <family val="2"/>
      <charset val="1"/>
    </font>
    <font>
      <sz val="11"/>
      <color indexed="60"/>
      <name val="Calibri"/>
      <family val="2"/>
      <charset val="1"/>
    </font>
    <font>
      <b/>
      <sz val="11"/>
      <color indexed="63"/>
      <name val="Calibri"/>
      <family val="2"/>
      <charset val="1"/>
    </font>
    <font>
      <sz val="11"/>
      <color indexed="10"/>
      <name val="Calibri"/>
      <family val="2"/>
      <charset val="1"/>
    </font>
    <font>
      <i/>
      <sz val="11"/>
      <color indexed="23"/>
      <name val="Calibri"/>
      <family val="2"/>
      <charset val="1"/>
    </font>
    <font>
      <b/>
      <sz val="11"/>
      <color indexed="8"/>
      <name val="Calibri"/>
      <family val="2"/>
      <charset val="1"/>
    </font>
    <font>
      <b/>
      <sz val="15"/>
      <color indexed="56"/>
      <name val="Calibri"/>
      <family val="2"/>
      <charset val="1"/>
    </font>
    <font>
      <b/>
      <sz val="13"/>
      <color indexed="56"/>
      <name val="Calibri"/>
      <family val="2"/>
      <charset val="1"/>
    </font>
    <font>
      <b/>
      <sz val="11"/>
      <color indexed="56"/>
      <name val="Calibri"/>
      <family val="2"/>
      <charset val="1"/>
    </font>
    <font>
      <b/>
      <sz val="18"/>
      <color indexed="56"/>
      <name val="Cambria"/>
      <family val="2"/>
      <charset val="1"/>
    </font>
    <font>
      <sz val="10"/>
      <name val="Arial"/>
      <family val="2"/>
    </font>
    <font>
      <sz val="12"/>
      <name val="Arial"/>
      <family val="2"/>
    </font>
    <font>
      <sz val="8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1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3"/>
      <color indexed="8"/>
      <name val="Arial"/>
      <family val="2"/>
    </font>
    <font>
      <sz val="11"/>
      <color indexed="8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indexed="31"/>
        <bgColor indexed="41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45"/>
      </patternFill>
    </fill>
    <fill>
      <patternFill patternType="solid">
        <fgColor indexed="27"/>
        <bgColor indexed="42"/>
      </patternFill>
    </fill>
    <fill>
      <patternFill patternType="solid">
        <fgColor indexed="47"/>
        <bgColor indexed="41"/>
      </patternFill>
    </fill>
    <fill>
      <patternFill patternType="solid">
        <fgColor indexed="44"/>
        <bgColor indexed="24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22"/>
        <bgColor indexed="50"/>
      </patternFill>
    </fill>
    <fill>
      <patternFill patternType="solid">
        <fgColor indexed="55"/>
        <bgColor indexed="23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44"/>
      </patternFill>
    </fill>
    <fill>
      <patternFill patternType="solid">
        <fgColor indexed="24"/>
        <bgColor indexed="44"/>
      </patternFill>
    </fill>
    <fill>
      <patternFill patternType="solid">
        <fgColor indexed="50"/>
        <bgColor indexed="22"/>
      </patternFill>
    </fill>
    <fill>
      <patternFill patternType="solid">
        <fgColor theme="0"/>
        <bgColor indexed="50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34"/>
      </patternFill>
    </fill>
    <fill>
      <patternFill patternType="solid">
        <fgColor theme="0" tint="-0.249977111117893"/>
        <bgColor indexed="3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48">
    <xf numFmtId="0" fontId="0" fillId="0" borderId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7" fillId="16" borderId="1" applyNumberFormat="0" applyAlignment="0" applyProtection="0"/>
    <xf numFmtId="0" fontId="7" fillId="16" borderId="1" applyNumberFormat="0" applyAlignment="0" applyProtection="0"/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8" fillId="17" borderId="2" applyNumberFormat="0" applyAlignment="0" applyProtection="0"/>
    <xf numFmtId="0" fontId="8" fillId="17" borderId="2" applyNumberFormat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165" fontId="21" fillId="0" borderId="0" applyFill="0" applyBorder="0" applyAlignment="0" applyProtection="0"/>
    <xf numFmtId="165" fontId="21" fillId="0" borderId="0" applyFill="0" applyBorder="0" applyAlignment="0" applyProtection="0"/>
    <xf numFmtId="165" fontId="21" fillId="0" borderId="0" applyFill="0" applyBorder="0" applyAlignment="0" applyProtection="0"/>
    <xf numFmtId="165" fontId="21" fillId="0" borderId="0" applyFill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2" fillId="0" borderId="0"/>
    <xf numFmtId="0" fontId="21" fillId="0" borderId="0"/>
    <xf numFmtId="0" fontId="21" fillId="23" borderId="4" applyNumberFormat="0" applyAlignment="0" applyProtection="0"/>
    <xf numFmtId="0" fontId="21" fillId="23" borderId="4" applyNumberFormat="0" applyAlignment="0" applyProtection="0"/>
    <xf numFmtId="0" fontId="21" fillId="23" borderId="4" applyNumberFormat="0" applyAlignment="0" applyProtection="0"/>
    <xf numFmtId="0" fontId="21" fillId="23" borderId="4" applyNumberFormat="0" applyAlignment="0" applyProtection="0"/>
    <xf numFmtId="9" fontId="21" fillId="0" borderId="0" applyFill="0" applyBorder="0" applyAlignment="0" applyProtection="0"/>
    <xf numFmtId="9" fontId="21" fillId="0" borderId="0" applyFill="0" applyBorder="0" applyAlignment="0" applyProtection="0"/>
    <xf numFmtId="9" fontId="21" fillId="0" borderId="0" applyFill="0" applyBorder="0" applyAlignment="0" applyProtection="0"/>
    <xf numFmtId="9" fontId="21" fillId="0" borderId="0" applyFill="0" applyBorder="0" applyAlignment="0" applyProtection="0"/>
    <xf numFmtId="9" fontId="21" fillId="0" borderId="0" applyFill="0" applyBorder="0" applyAlignment="0" applyProtection="0"/>
    <xf numFmtId="0" fontId="13" fillId="16" borderId="5" applyNumberFormat="0" applyAlignment="0" applyProtection="0"/>
    <xf numFmtId="0" fontId="13" fillId="16" borderId="5" applyNumberFormat="0" applyAlignment="0" applyProtection="0"/>
    <xf numFmtId="166" fontId="21" fillId="0" borderId="0" applyFill="0" applyBorder="0" applyAlignment="0" applyProtection="0"/>
    <xf numFmtId="166" fontId="21" fillId="0" borderId="0" applyFill="0" applyBorder="0" applyAlignment="0" applyProtection="0"/>
    <xf numFmtId="166" fontId="21" fillId="0" borderId="0" applyFill="0" applyBorder="0" applyAlignment="0" applyProtection="0"/>
    <xf numFmtId="166" fontId="21" fillId="0" borderId="0" applyFill="0" applyBorder="0" applyAlignment="0" applyProtection="0"/>
    <xf numFmtId="166" fontId="21" fillId="0" borderId="0" applyFill="0" applyBorder="0" applyAlignment="0" applyProtection="0"/>
    <xf numFmtId="166" fontId="21" fillId="0" borderId="0" applyFill="0" applyBorder="0" applyAlignment="0" applyProtection="0"/>
    <xf numFmtId="166" fontId="21" fillId="0" borderId="0" applyFill="0" applyBorder="0" applyAlignment="0" applyProtection="0"/>
    <xf numFmtId="166" fontId="21" fillId="0" borderId="0" applyFill="0" applyBorder="0" applyAlignment="0" applyProtection="0"/>
    <xf numFmtId="166" fontId="21" fillId="0" borderId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9" fillId="0" borderId="8" applyNumberFormat="0" applyFill="0" applyAlignment="0" applyProtection="0"/>
    <xf numFmtId="0" fontId="19" fillId="0" borderId="8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164" fontId="1" fillId="0" borderId="0" applyFill="0" applyBorder="0" applyAlignment="0" applyProtection="0"/>
    <xf numFmtId="164" fontId="21" fillId="0" borderId="0" applyFill="0" applyBorder="0" applyAlignment="0" applyProtection="0"/>
  </cellStyleXfs>
  <cellXfs count="152">
    <xf numFmtId="0" fontId="0" fillId="0" borderId="0" xfId="0"/>
    <xf numFmtId="0" fontId="24" fillId="0" borderId="0" xfId="0" applyFont="1" applyAlignment="1">
      <alignment horizontal="center" vertical="center"/>
    </xf>
    <xf numFmtId="168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vertical="center"/>
    </xf>
    <xf numFmtId="0" fontId="24" fillId="0" borderId="0" xfId="0" applyFont="1" applyAlignment="1">
      <alignment horizontal="center" vertical="center" wrapText="1"/>
    </xf>
    <xf numFmtId="164" fontId="22" fillId="0" borderId="10" xfId="146" applyFont="1" applyBorder="1" applyAlignment="1">
      <alignment horizontal="right" vertical="center"/>
    </xf>
    <xf numFmtId="0" fontId="22" fillId="0" borderId="0" xfId="0" applyFont="1"/>
    <xf numFmtId="10" fontId="22" fillId="0" borderId="10" xfId="112" applyNumberFormat="1" applyFont="1" applyBorder="1"/>
    <xf numFmtId="4" fontId="22" fillId="0" borderId="10" xfId="146" applyNumberFormat="1" applyFont="1" applyFill="1" applyBorder="1" applyAlignment="1" applyProtection="1">
      <alignment horizontal="right" vertical="center"/>
    </xf>
    <xf numFmtId="4" fontId="25" fillId="32" borderId="10" xfId="107" applyNumberFormat="1" applyFont="1" applyFill="1" applyBorder="1" applyAlignment="1">
      <alignment horizontal="right" vertical="center"/>
    </xf>
    <xf numFmtId="4" fontId="22" fillId="0" borderId="10" xfId="112" applyNumberFormat="1" applyFont="1" applyBorder="1" applyAlignment="1">
      <alignment horizontal="right"/>
    </xf>
    <xf numFmtId="169" fontId="28" fillId="28" borderId="10" xfId="0" applyNumberFormat="1" applyFont="1" applyFill="1" applyBorder="1" applyAlignment="1">
      <alignment horizontal="center" vertical="center" wrapText="1"/>
    </xf>
    <xf numFmtId="169" fontId="28" fillId="28" borderId="10" xfId="0" applyNumberFormat="1" applyFont="1" applyFill="1" applyBorder="1" applyAlignment="1">
      <alignment horizontal="center" vertical="center"/>
    </xf>
    <xf numFmtId="0" fontId="1" fillId="28" borderId="10" xfId="0" applyFont="1" applyFill="1" applyBorder="1" applyAlignment="1">
      <alignment horizontal="center" vertical="center"/>
    </xf>
    <xf numFmtId="169" fontId="1" fillId="28" borderId="10" xfId="0" applyNumberFormat="1" applyFont="1" applyFill="1" applyBorder="1" applyAlignment="1">
      <alignment horizontal="center" vertical="center" wrapText="1"/>
    </xf>
    <xf numFmtId="169" fontId="0" fillId="28" borderId="10" xfId="0" applyNumberFormat="1" applyFill="1" applyBorder="1" applyAlignment="1">
      <alignment horizontal="center" vertical="center" wrapText="1"/>
    </xf>
    <xf numFmtId="2" fontId="0" fillId="28" borderId="10" xfId="0" applyNumberFormat="1" applyFill="1" applyBorder="1" applyAlignment="1">
      <alignment horizontal="center" vertical="center"/>
    </xf>
    <xf numFmtId="0" fontId="0" fillId="28" borderId="10" xfId="0" applyFill="1" applyBorder="1" applyAlignment="1">
      <alignment horizontal="center" vertical="center"/>
    </xf>
    <xf numFmtId="0" fontId="0" fillId="28" borderId="10" xfId="0" applyFill="1" applyBorder="1" applyAlignment="1">
      <alignment horizontal="left" vertical="center"/>
    </xf>
    <xf numFmtId="169" fontId="0" fillId="28" borderId="10" xfId="0" applyNumberFormat="1" applyFill="1" applyBorder="1" applyAlignment="1">
      <alignment horizontal="center" vertical="center"/>
    </xf>
    <xf numFmtId="169" fontId="0" fillId="0" borderId="10" xfId="0" applyNumberFormat="1" applyBorder="1" applyAlignment="1">
      <alignment horizontal="center" vertical="center"/>
    </xf>
    <xf numFmtId="169" fontId="0" fillId="0" borderId="10" xfId="0" applyNumberFormat="1" applyBorder="1" applyAlignment="1">
      <alignment horizontal="center" vertical="center" wrapText="1"/>
    </xf>
    <xf numFmtId="0" fontId="0" fillId="28" borderId="10" xfId="0" applyFill="1" applyBorder="1" applyAlignment="1">
      <alignment horizontal="left" vertical="center" wrapText="1"/>
    </xf>
    <xf numFmtId="169" fontId="24" fillId="0" borderId="0" xfId="0" applyNumberFormat="1" applyFont="1" applyAlignment="1">
      <alignment horizontal="center" vertical="center"/>
    </xf>
    <xf numFmtId="0" fontId="28" fillId="28" borderId="10" xfId="0" applyFont="1" applyFill="1" applyBorder="1" applyAlignment="1">
      <alignment horizontal="center" vertical="center"/>
    </xf>
    <xf numFmtId="0" fontId="28" fillId="28" borderId="10" xfId="0" applyFont="1" applyFill="1" applyBorder="1" applyAlignment="1">
      <alignment horizontal="left" vertical="center"/>
    </xf>
    <xf numFmtId="0" fontId="24" fillId="0" borderId="10" xfId="107" applyFont="1" applyBorder="1" applyAlignment="1">
      <alignment horizontal="center" vertical="center"/>
    </xf>
    <xf numFmtId="0" fontId="25" fillId="16" borderId="10" xfId="107" applyFont="1" applyFill="1" applyBorder="1" applyAlignment="1">
      <alignment horizontal="center" vertical="center" wrapText="1"/>
    </xf>
    <xf numFmtId="0" fontId="22" fillId="0" borderId="10" xfId="104" applyFont="1" applyBorder="1" applyAlignment="1">
      <alignment horizontal="center"/>
    </xf>
    <xf numFmtId="1" fontId="22" fillId="24" borderId="10" xfId="104" applyNumberFormat="1" applyFont="1" applyFill="1" applyBorder="1" applyAlignment="1">
      <alignment horizontal="center"/>
    </xf>
    <xf numFmtId="4" fontId="27" fillId="16" borderId="10" xfId="146" applyNumberFormat="1" applyFont="1" applyFill="1" applyBorder="1" applyAlignment="1" applyProtection="1">
      <alignment horizontal="right" vertical="center"/>
    </xf>
    <xf numFmtId="4" fontId="25" fillId="16" borderId="10" xfId="107" applyNumberFormat="1" applyFont="1" applyFill="1" applyBorder="1" applyAlignment="1">
      <alignment horizontal="right" vertical="center"/>
    </xf>
    <xf numFmtId="4" fontId="25" fillId="16" borderId="10" xfId="107" applyNumberFormat="1" applyFont="1" applyFill="1" applyBorder="1" applyAlignment="1">
      <alignment horizontal="center" vertical="center" wrapText="1"/>
    </xf>
    <xf numFmtId="4" fontId="24" fillId="28" borderId="10" xfId="107" applyNumberFormat="1" applyFont="1" applyFill="1" applyBorder="1" applyAlignment="1">
      <alignment horizontal="right" vertical="center"/>
    </xf>
    <xf numFmtId="4" fontId="22" fillId="28" borderId="10" xfId="146" applyNumberFormat="1" applyFont="1" applyFill="1" applyBorder="1" applyAlignment="1" applyProtection="1">
      <alignment horizontal="right" vertical="center"/>
    </xf>
    <xf numFmtId="4" fontId="27" fillId="31" borderId="10" xfId="112" applyNumberFormat="1" applyFont="1" applyFill="1" applyBorder="1" applyAlignment="1" applyProtection="1">
      <alignment horizontal="right" vertical="center"/>
    </xf>
    <xf numFmtId="4" fontId="27" fillId="31" borderId="10" xfId="146" applyNumberFormat="1" applyFont="1" applyFill="1" applyBorder="1" applyAlignment="1" applyProtection="1">
      <alignment horizontal="right" vertical="center"/>
    </xf>
    <xf numFmtId="4" fontId="27" fillId="32" borderId="10" xfId="146" applyNumberFormat="1" applyFont="1" applyFill="1" applyBorder="1" applyAlignment="1" applyProtection="1">
      <alignment horizontal="right" vertical="center"/>
    </xf>
    <xf numFmtId="4" fontId="22" fillId="0" borderId="10" xfId="146" applyNumberFormat="1" applyFont="1" applyFill="1" applyBorder="1" applyAlignment="1" applyProtection="1">
      <alignment horizontal="right"/>
    </xf>
    <xf numFmtId="4" fontId="27" fillId="31" borderId="10" xfId="0" applyNumberFormat="1" applyFont="1" applyFill="1" applyBorder="1" applyAlignment="1">
      <alignment horizontal="right"/>
    </xf>
    <xf numFmtId="0" fontId="28" fillId="28" borderId="10" xfId="0" applyFont="1" applyFill="1" applyBorder="1" applyAlignment="1">
      <alignment horizontal="center" vertical="center"/>
    </xf>
    <xf numFmtId="0" fontId="22" fillId="0" borderId="10" xfId="104" applyFont="1" applyBorder="1"/>
    <xf numFmtId="0" fontId="22" fillId="0" borderId="10" xfId="104" applyFont="1" applyBorder="1" applyAlignment="1">
      <alignment horizontal="left"/>
    </xf>
    <xf numFmtId="0" fontId="24" fillId="0" borderId="10" xfId="0" applyFont="1" applyBorder="1" applyAlignment="1">
      <alignment horizontal="center" vertical="center"/>
    </xf>
    <xf numFmtId="0" fontId="25" fillId="16" borderId="10" xfId="0" applyFont="1" applyFill="1" applyBorder="1" applyAlignment="1">
      <alignment horizontal="left" vertical="center"/>
    </xf>
    <xf numFmtId="0" fontId="24" fillId="16" borderId="10" xfId="0" applyFont="1" applyFill="1" applyBorder="1" applyAlignment="1">
      <alignment horizontal="center" vertical="center"/>
    </xf>
    <xf numFmtId="0" fontId="25" fillId="27" borderId="10" xfId="0" applyFont="1" applyFill="1" applyBorder="1" applyAlignment="1">
      <alignment horizontal="left" vertical="center"/>
    </xf>
    <xf numFmtId="167" fontId="24" fillId="0" borderId="10" xfId="112" applyNumberFormat="1" applyFont="1" applyFill="1" applyBorder="1" applyAlignment="1" applyProtection="1">
      <alignment horizontal="center" vertical="center"/>
    </xf>
    <xf numFmtId="164" fontId="22" fillId="0" borderId="10" xfId="146" applyFont="1" applyFill="1" applyBorder="1" applyAlignment="1" applyProtection="1"/>
    <xf numFmtId="0" fontId="26" fillId="0" borderId="10" xfId="0" applyFont="1" applyBorder="1" applyAlignment="1">
      <alignment horizontal="center" vertical="center"/>
    </xf>
    <xf numFmtId="164" fontId="22" fillId="16" borderId="10" xfId="146" applyFont="1" applyFill="1" applyBorder="1" applyAlignment="1">
      <alignment horizontal="center" vertical="center"/>
    </xf>
    <xf numFmtId="164" fontId="22" fillId="0" borderId="10" xfId="146" applyFont="1" applyBorder="1"/>
    <xf numFmtId="0" fontId="25" fillId="16" borderId="10" xfId="0" applyFont="1" applyFill="1" applyBorder="1" applyAlignment="1">
      <alignment horizontal="center" vertical="center"/>
    </xf>
    <xf numFmtId="167" fontId="25" fillId="16" borderId="10" xfId="112" applyNumberFormat="1" applyFont="1" applyFill="1" applyBorder="1" applyAlignment="1" applyProtection="1">
      <alignment horizontal="center" vertical="center"/>
    </xf>
    <xf numFmtId="167" fontId="22" fillId="0" borderId="10" xfId="112" applyNumberFormat="1" applyFont="1" applyFill="1" applyBorder="1" applyAlignment="1" applyProtection="1">
      <alignment horizontal="center" vertical="center"/>
    </xf>
    <xf numFmtId="164" fontId="22" fillId="0" borderId="10" xfId="146" applyFont="1" applyBorder="1" applyAlignment="1">
      <alignment horizontal="center" vertical="center"/>
    </xf>
    <xf numFmtId="167" fontId="22" fillId="0" borderId="10" xfId="112" applyNumberFormat="1" applyFont="1" applyFill="1" applyBorder="1" applyAlignment="1" applyProtection="1">
      <alignment horizontal="center"/>
    </xf>
    <xf numFmtId="0" fontId="22" fillId="0" borderId="10" xfId="104" applyFont="1" applyBorder="1" applyAlignment="1">
      <alignment horizontal="left" vertical="center"/>
    </xf>
    <xf numFmtId="164" fontId="22" fillId="0" borderId="10" xfId="146" applyFont="1" applyFill="1" applyBorder="1" applyAlignment="1" applyProtection="1">
      <alignment wrapText="1"/>
    </xf>
    <xf numFmtId="164" fontId="22" fillId="16" borderId="10" xfId="146" applyFont="1" applyFill="1" applyBorder="1" applyAlignment="1" applyProtection="1">
      <alignment horizontal="center" vertical="center"/>
    </xf>
    <xf numFmtId="44" fontId="27" fillId="16" borderId="10" xfId="146" applyNumberFormat="1" applyFont="1" applyFill="1" applyBorder="1" applyAlignment="1" applyProtection="1">
      <alignment horizontal="center" vertical="center"/>
    </xf>
    <xf numFmtId="0" fontId="25" fillId="16" borderId="10" xfId="0" applyFont="1" applyFill="1" applyBorder="1" applyAlignment="1">
      <alignment horizontal="center" vertical="center" wrapText="1"/>
    </xf>
    <xf numFmtId="167" fontId="24" fillId="25" borderId="10" xfId="112" applyNumberFormat="1" applyFont="1" applyFill="1" applyBorder="1" applyAlignment="1" applyProtection="1">
      <alignment horizontal="center" vertical="center"/>
    </xf>
    <xf numFmtId="0" fontId="22" fillId="0" borderId="10" xfId="104" applyFont="1" applyBorder="1" applyAlignment="1">
      <alignment wrapText="1"/>
    </xf>
    <xf numFmtId="167" fontId="22" fillId="29" borderId="10" xfId="112" applyNumberFormat="1" applyFont="1" applyFill="1" applyBorder="1" applyAlignment="1" applyProtection="1">
      <alignment horizontal="center" vertical="center"/>
    </xf>
    <xf numFmtId="167" fontId="22" fillId="25" borderId="10" xfId="112" applyNumberFormat="1" applyFont="1" applyFill="1" applyBorder="1" applyAlignment="1" applyProtection="1">
      <alignment horizontal="center" vertical="center"/>
    </xf>
    <xf numFmtId="167" fontId="24" fillId="16" borderId="10" xfId="112" applyNumberFormat="1" applyFont="1" applyFill="1" applyBorder="1" applyAlignment="1" applyProtection="1">
      <alignment horizontal="center" vertical="center"/>
    </xf>
    <xf numFmtId="0" fontId="22" fillId="30" borderId="10" xfId="104" applyFont="1" applyFill="1" applyBorder="1"/>
    <xf numFmtId="0" fontId="28" fillId="28" borderId="10" xfId="0" applyFont="1" applyFill="1" applyBorder="1" applyAlignment="1">
      <alignment horizontal="center" vertical="center"/>
    </xf>
    <xf numFmtId="0" fontId="22" fillId="0" borderId="10" xfId="104" applyFont="1" applyBorder="1"/>
    <xf numFmtId="0" fontId="0" fillId="28" borderId="10" xfId="0" applyFont="1" applyFill="1" applyBorder="1" applyAlignment="1">
      <alignment horizontal="left" vertical="center" wrapText="1"/>
    </xf>
    <xf numFmtId="0" fontId="33" fillId="0" borderId="0" xfId="0" applyFont="1" applyAlignment="1">
      <alignment horizontal="center" vertical="center"/>
    </xf>
    <xf numFmtId="2" fontId="0" fillId="28" borderId="10" xfId="0" applyNumberFormat="1" applyFont="1" applyFill="1" applyBorder="1" applyAlignment="1">
      <alignment horizontal="center" vertical="center"/>
    </xf>
    <xf numFmtId="0" fontId="28" fillId="28" borderId="10" xfId="0" applyFont="1" applyFill="1" applyBorder="1" applyAlignment="1">
      <alignment horizontal="center" vertical="center"/>
    </xf>
    <xf numFmtId="0" fontId="28" fillId="28" borderId="10" xfId="0" applyFont="1" applyFill="1" applyBorder="1" applyAlignment="1">
      <alignment horizontal="left" vertical="center"/>
    </xf>
    <xf numFmtId="0" fontId="22" fillId="0" borderId="15" xfId="0" applyFont="1" applyBorder="1" applyAlignment="1">
      <alignment vertical="center"/>
    </xf>
    <xf numFmtId="0" fontId="22" fillId="0" borderId="0" xfId="0" applyFont="1" applyAlignment="1">
      <alignment vertical="center"/>
    </xf>
    <xf numFmtId="0" fontId="27" fillId="0" borderId="0" xfId="0" applyFont="1" applyBorder="1" applyAlignment="1">
      <alignment vertical="center"/>
    </xf>
    <xf numFmtId="0" fontId="22" fillId="0" borderId="0" xfId="0" applyFont="1" applyBorder="1" applyAlignment="1">
      <alignment vertical="center"/>
    </xf>
    <xf numFmtId="0" fontId="0" fillId="28" borderId="10" xfId="0" applyFont="1" applyFill="1" applyBorder="1" applyAlignment="1">
      <alignment horizontal="center" vertical="center"/>
    </xf>
    <xf numFmtId="0" fontId="28" fillId="28" borderId="10" xfId="0" applyFont="1" applyFill="1" applyBorder="1" applyAlignment="1">
      <alignment horizontal="left" vertical="center" wrapText="1"/>
    </xf>
    <xf numFmtId="0" fontId="22" fillId="0" borderId="10" xfId="104" applyFont="1" applyBorder="1" applyAlignment="1">
      <alignment vertical="center" wrapText="1"/>
    </xf>
    <xf numFmtId="0" fontId="25" fillId="32" borderId="10" xfId="0" applyFont="1" applyFill="1" applyBorder="1" applyAlignment="1">
      <alignment horizontal="left" vertical="center"/>
    </xf>
    <xf numFmtId="0" fontId="22" fillId="0" borderId="10" xfId="104" applyFont="1" applyBorder="1" applyAlignment="1">
      <alignment horizontal="left" vertical="center"/>
    </xf>
    <xf numFmtId="0" fontId="25" fillId="16" borderId="13" xfId="0" applyFont="1" applyFill="1" applyBorder="1" applyAlignment="1">
      <alignment vertical="center"/>
    </xf>
    <xf numFmtId="0" fontId="25" fillId="16" borderId="11" xfId="0" applyFont="1" applyFill="1" applyBorder="1" applyAlignment="1">
      <alignment vertical="center"/>
    </xf>
    <xf numFmtId="0" fontId="25" fillId="16" borderId="12" xfId="0" applyFont="1" applyFill="1" applyBorder="1" applyAlignment="1">
      <alignment vertical="center"/>
    </xf>
    <xf numFmtId="0" fontId="24" fillId="0" borderId="10" xfId="0" applyFont="1" applyBorder="1" applyAlignment="1">
      <alignment horizontal="left" vertical="center"/>
    </xf>
    <xf numFmtId="0" fontId="24" fillId="31" borderId="10" xfId="0" applyFont="1" applyFill="1" applyBorder="1" applyAlignment="1">
      <alignment horizontal="center" vertical="center"/>
    </xf>
    <xf numFmtId="2" fontId="22" fillId="0" borderId="0" xfId="0" applyNumberFormat="1" applyFont="1"/>
    <xf numFmtId="0" fontId="22" fillId="0" borderId="10" xfId="104" applyFont="1" applyBorder="1" applyAlignment="1">
      <alignment horizontal="center" vertical="center"/>
    </xf>
    <xf numFmtId="0" fontId="24" fillId="0" borderId="10" xfId="0" applyFont="1" applyBorder="1" applyAlignment="1">
      <alignment horizontal="center" vertical="center"/>
    </xf>
    <xf numFmtId="0" fontId="25" fillId="16" borderId="10" xfId="0" applyFont="1" applyFill="1" applyBorder="1" applyAlignment="1">
      <alignment horizontal="left" vertical="center"/>
    </xf>
    <xf numFmtId="0" fontId="28" fillId="28" borderId="10" xfId="0" applyFont="1" applyFill="1" applyBorder="1" applyAlignment="1">
      <alignment horizontal="center" vertical="center"/>
    </xf>
    <xf numFmtId="0" fontId="22" fillId="0" borderId="10" xfId="104" applyFont="1" applyBorder="1" applyAlignment="1">
      <alignment vertical="center"/>
    </xf>
    <xf numFmtId="0" fontId="22" fillId="0" borderId="10" xfId="104" applyFont="1" applyBorder="1" applyAlignment="1">
      <alignment horizontal="left" vertical="center"/>
    </xf>
    <xf numFmtId="0" fontId="25" fillId="16" borderId="10" xfId="107" applyFont="1" applyFill="1" applyBorder="1" applyAlignment="1">
      <alignment horizontal="center" vertical="center"/>
    </xf>
    <xf numFmtId="0" fontId="25" fillId="16" borderId="10" xfId="107" applyFont="1" applyFill="1" applyBorder="1" applyAlignment="1">
      <alignment horizontal="left" vertical="center"/>
    </xf>
    <xf numFmtId="0" fontId="28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28" fillId="28" borderId="14" xfId="0" applyFont="1" applyFill="1" applyBorder="1" applyAlignment="1">
      <alignment horizontal="center" vertical="center"/>
    </xf>
    <xf numFmtId="0" fontId="0" fillId="0" borderId="10" xfId="0" applyFont="1" applyBorder="1" applyAlignment="1">
      <alignment horizontal="center" vertical="center" wrapText="1"/>
    </xf>
    <xf numFmtId="0" fontId="0" fillId="28" borderId="14" xfId="0" applyFont="1" applyFill="1" applyBorder="1" applyAlignment="1">
      <alignment vertical="center"/>
    </xf>
    <xf numFmtId="0" fontId="28" fillId="28" borderId="0" xfId="0" applyFont="1" applyFill="1" applyBorder="1" applyAlignment="1">
      <alignment horizontal="center" vertical="center"/>
    </xf>
    <xf numFmtId="169" fontId="28" fillId="28" borderId="0" xfId="0" applyNumberFormat="1" applyFont="1" applyFill="1" applyBorder="1" applyAlignment="1">
      <alignment horizontal="center" vertical="center" wrapText="1"/>
    </xf>
    <xf numFmtId="0" fontId="32" fillId="16" borderId="10" xfId="0" applyFont="1" applyFill="1" applyBorder="1" applyAlignment="1">
      <alignment horizontal="center" vertical="center"/>
    </xf>
    <xf numFmtId="0" fontId="24" fillId="0" borderId="13" xfId="0" applyFont="1" applyBorder="1" applyAlignment="1">
      <alignment horizontal="center" vertical="center"/>
    </xf>
    <xf numFmtId="0" fontId="24" fillId="0" borderId="11" xfId="0" applyFont="1" applyBorder="1" applyAlignment="1">
      <alignment horizontal="center" vertical="center"/>
    </xf>
    <xf numFmtId="0" fontId="24" fillId="0" borderId="12" xfId="0" applyFont="1" applyBorder="1" applyAlignment="1">
      <alignment horizontal="center" vertical="center"/>
    </xf>
    <xf numFmtId="0" fontId="32" fillId="26" borderId="10" xfId="0" applyFont="1" applyFill="1" applyBorder="1" applyAlignment="1">
      <alignment horizontal="center" vertical="center"/>
    </xf>
    <xf numFmtId="0" fontId="24" fillId="27" borderId="10" xfId="0" applyFont="1" applyFill="1" applyBorder="1" applyAlignment="1">
      <alignment horizontal="left" vertical="center"/>
    </xf>
    <xf numFmtId="0" fontId="0" fillId="0" borderId="10" xfId="0" applyBorder="1" applyAlignment="1">
      <alignment vertical="center"/>
    </xf>
    <xf numFmtId="0" fontId="24" fillId="0" borderId="10" xfId="0" applyFont="1" applyBorder="1" applyAlignment="1">
      <alignment horizontal="center" vertical="center"/>
    </xf>
    <xf numFmtId="0" fontId="25" fillId="16" borderId="10" xfId="0" applyFont="1" applyFill="1" applyBorder="1" applyAlignment="1">
      <alignment horizontal="left" vertical="center"/>
    </xf>
    <xf numFmtId="0" fontId="24" fillId="0" borderId="10" xfId="0" applyFont="1" applyBorder="1" applyAlignment="1">
      <alignment horizontal="left" vertical="center"/>
    </xf>
    <xf numFmtId="49" fontId="22" fillId="0" borderId="10" xfId="96" applyNumberFormat="1" applyFont="1" applyBorder="1" applyAlignment="1">
      <alignment horizontal="left" vertical="center" wrapText="1"/>
    </xf>
    <xf numFmtId="0" fontId="29" fillId="28" borderId="10" xfId="147" applyNumberFormat="1" applyFont="1" applyFill="1" applyBorder="1" applyAlignment="1">
      <alignment horizontal="center" vertical="center" wrapText="1"/>
    </xf>
    <xf numFmtId="0" fontId="30" fillId="28" borderId="10" xfId="0" applyFont="1" applyFill="1" applyBorder="1" applyAlignment="1">
      <alignment horizontal="center" vertical="center"/>
    </xf>
    <xf numFmtId="0" fontId="30" fillId="33" borderId="10" xfId="0" applyFont="1" applyFill="1" applyBorder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33" fillId="0" borderId="0" xfId="0" applyFont="1" applyAlignment="1">
      <alignment horizontal="center" vertical="center" wrapText="1"/>
    </xf>
    <xf numFmtId="0" fontId="28" fillId="28" borderId="10" xfId="0" applyFont="1" applyFill="1" applyBorder="1" applyAlignment="1">
      <alignment horizontal="center" vertical="center"/>
    </xf>
    <xf numFmtId="0" fontId="28" fillId="28" borderId="10" xfId="0" applyFont="1" applyFill="1" applyBorder="1" applyAlignment="1">
      <alignment horizontal="right" vertical="center"/>
    </xf>
    <xf numFmtId="0" fontId="31" fillId="28" borderId="10" xfId="0" applyFont="1" applyFill="1" applyBorder="1" applyAlignment="1">
      <alignment horizontal="center" vertical="center"/>
    </xf>
    <xf numFmtId="0" fontId="25" fillId="0" borderId="13" xfId="107" applyFont="1" applyBorder="1" applyAlignment="1">
      <alignment horizontal="left" vertical="center"/>
    </xf>
    <xf numFmtId="0" fontId="25" fillId="0" borderId="11" xfId="107" applyFont="1" applyBorder="1" applyAlignment="1">
      <alignment horizontal="left" vertical="center"/>
    </xf>
    <xf numFmtId="0" fontId="25" fillId="0" borderId="12" xfId="107" applyFont="1" applyBorder="1" applyAlignment="1">
      <alignment horizontal="left" vertical="center"/>
    </xf>
    <xf numFmtId="0" fontId="25" fillId="32" borderId="13" xfId="0" applyFont="1" applyFill="1" applyBorder="1" applyAlignment="1">
      <alignment horizontal="left" vertical="center"/>
    </xf>
    <xf numFmtId="0" fontId="25" fillId="32" borderId="11" xfId="0" applyFont="1" applyFill="1" applyBorder="1" applyAlignment="1">
      <alignment horizontal="left" vertical="center"/>
    </xf>
    <xf numFmtId="0" fontId="25" fillId="32" borderId="12" xfId="0" applyFont="1" applyFill="1" applyBorder="1" applyAlignment="1">
      <alignment horizontal="left" vertical="center"/>
    </xf>
    <xf numFmtId="0" fontId="25" fillId="32" borderId="10" xfId="0" applyFont="1" applyFill="1" applyBorder="1" applyAlignment="1">
      <alignment horizontal="left" vertical="center"/>
    </xf>
    <xf numFmtId="0" fontId="22" fillId="0" borderId="10" xfId="104" applyFont="1" applyBorder="1" applyAlignment="1">
      <alignment vertical="center"/>
    </xf>
    <xf numFmtId="0" fontId="22" fillId="0" borderId="10" xfId="104" applyFont="1" applyBorder="1" applyAlignment="1">
      <alignment horizontal="left" vertical="center"/>
    </xf>
    <xf numFmtId="0" fontId="25" fillId="16" borderId="10" xfId="107" applyFont="1" applyFill="1" applyBorder="1" applyAlignment="1">
      <alignment horizontal="center" vertical="center"/>
    </xf>
    <xf numFmtId="0" fontId="25" fillId="16" borderId="10" xfId="107" applyFont="1" applyFill="1" applyBorder="1" applyAlignment="1">
      <alignment horizontal="left" vertical="center"/>
    </xf>
    <xf numFmtId="0" fontId="27" fillId="0" borderId="0" xfId="0" applyFont="1" applyBorder="1" applyAlignment="1">
      <alignment horizontal="left" vertical="center"/>
    </xf>
    <xf numFmtId="0" fontId="22" fillId="0" borderId="0" xfId="0" applyFont="1" applyBorder="1" applyAlignment="1">
      <alignment horizontal="left" vertical="center" wrapText="1"/>
    </xf>
    <xf numFmtId="0" fontId="25" fillId="27" borderId="13" xfId="107" applyFont="1" applyFill="1" applyBorder="1" applyAlignment="1">
      <alignment horizontal="center" vertical="center"/>
    </xf>
    <xf numFmtId="0" fontId="25" fillId="27" borderId="11" xfId="107" applyFont="1" applyFill="1" applyBorder="1" applyAlignment="1">
      <alignment horizontal="center" vertical="center"/>
    </xf>
    <xf numFmtId="0" fontId="25" fillId="27" borderId="12" xfId="107" applyFont="1" applyFill="1" applyBorder="1" applyAlignment="1">
      <alignment horizontal="center" vertical="center"/>
    </xf>
    <xf numFmtId="0" fontId="24" fillId="0" borderId="13" xfId="107" applyFont="1" applyBorder="1" applyAlignment="1">
      <alignment horizontal="center" vertical="center"/>
    </xf>
    <xf numFmtId="0" fontId="24" fillId="0" borderId="11" xfId="107" applyFont="1" applyBorder="1" applyAlignment="1">
      <alignment horizontal="center" vertical="center"/>
    </xf>
    <xf numFmtId="0" fontId="24" fillId="0" borderId="12" xfId="107" applyFont="1" applyBorder="1" applyAlignment="1">
      <alignment horizontal="center" vertical="center"/>
    </xf>
    <xf numFmtId="0" fontId="22" fillId="0" borderId="10" xfId="0" applyFont="1" applyBorder="1" applyAlignment="1">
      <alignment vertical="center"/>
    </xf>
    <xf numFmtId="0" fontId="25" fillId="32" borderId="10" xfId="107" applyFont="1" applyFill="1" applyBorder="1" applyAlignment="1">
      <alignment horizontal="left" vertical="center"/>
    </xf>
    <xf numFmtId="0" fontId="25" fillId="0" borderId="13" xfId="107" applyFont="1" applyBorder="1" applyAlignment="1">
      <alignment horizontal="center" vertical="center"/>
    </xf>
    <xf numFmtId="0" fontId="25" fillId="0" borderId="11" xfId="107" applyFont="1" applyBorder="1" applyAlignment="1">
      <alignment horizontal="center" vertical="center"/>
    </xf>
    <xf numFmtId="0" fontId="25" fillId="0" borderId="12" xfId="107" applyFont="1" applyBorder="1" applyAlignment="1">
      <alignment horizontal="center" vertical="center"/>
    </xf>
    <xf numFmtId="0" fontId="25" fillId="27" borderId="13" xfId="0" applyFont="1" applyFill="1" applyBorder="1" applyAlignment="1">
      <alignment horizontal="center" vertical="center"/>
    </xf>
    <xf numFmtId="0" fontId="25" fillId="27" borderId="11" xfId="0" applyFont="1" applyFill="1" applyBorder="1" applyAlignment="1">
      <alignment horizontal="center" vertical="center"/>
    </xf>
    <xf numFmtId="0" fontId="25" fillId="27" borderId="12" xfId="0" applyFont="1" applyFill="1" applyBorder="1" applyAlignment="1">
      <alignment horizontal="center" vertical="center"/>
    </xf>
    <xf numFmtId="0" fontId="25" fillId="0" borderId="10" xfId="107" applyFont="1" applyBorder="1" applyAlignment="1">
      <alignment horizontal="center" vertical="center"/>
    </xf>
  </cellXfs>
  <cellStyles count="148">
    <cellStyle name="20% - Ênfase1 2" xfId="1"/>
    <cellStyle name="20% - Ênfase1 2 2" xfId="2"/>
    <cellStyle name="20% - Ênfase1 3" xfId="3"/>
    <cellStyle name="20% - Ênfase1 3 2" xfId="4"/>
    <cellStyle name="20% - Ênfase2 2" xfId="5"/>
    <cellStyle name="20% - Ênfase2 2 2" xfId="6"/>
    <cellStyle name="20% - Ênfase2 3" xfId="7"/>
    <cellStyle name="20% - Ênfase2 3 2" xfId="8"/>
    <cellStyle name="20% - Ênfase3 2" xfId="9"/>
    <cellStyle name="20% - Ênfase3 2 2" xfId="10"/>
    <cellStyle name="20% - Ênfase3 3" xfId="11"/>
    <cellStyle name="20% - Ênfase3 3 2" xfId="12"/>
    <cellStyle name="20% - Ênfase4 2" xfId="13"/>
    <cellStyle name="20% - Ênfase4 2 2" xfId="14"/>
    <cellStyle name="20% - Ênfase4 3" xfId="15"/>
    <cellStyle name="20% - Ênfase4 3 2" xfId="16"/>
    <cellStyle name="20% - Ênfase5 2" xfId="17"/>
    <cellStyle name="20% - Ênfase5 2 2" xfId="18"/>
    <cellStyle name="20% - Ênfase5 3" xfId="19"/>
    <cellStyle name="20% - Ênfase5 3 2" xfId="20"/>
    <cellStyle name="20% - Ênfase6 2" xfId="21"/>
    <cellStyle name="20% - Ênfase6 2 2" xfId="22"/>
    <cellStyle name="20% - Ênfase6 3" xfId="23"/>
    <cellStyle name="20% - Ênfase6 3 2" xfId="24"/>
    <cellStyle name="40% - Ênfase1 2" xfId="25"/>
    <cellStyle name="40% - Ênfase1 2 2" xfId="26"/>
    <cellStyle name="40% - Ênfase1 3" xfId="27"/>
    <cellStyle name="40% - Ênfase1 3 2" xfId="28"/>
    <cellStyle name="40% - Ênfase2 2" xfId="29"/>
    <cellStyle name="40% - Ênfase2 2 2" xfId="30"/>
    <cellStyle name="40% - Ênfase2 3" xfId="31"/>
    <cellStyle name="40% - Ênfase2 3 2" xfId="32"/>
    <cellStyle name="40% - Ênfase3 2" xfId="33"/>
    <cellStyle name="40% - Ênfase3 2 2" xfId="34"/>
    <cellStyle name="40% - Ênfase3 3" xfId="35"/>
    <cellStyle name="40% - Ênfase3 3 2" xfId="36"/>
    <cellStyle name="40% - Ênfase4 2" xfId="37"/>
    <cellStyle name="40% - Ênfase4 2 2" xfId="38"/>
    <cellStyle name="40% - Ênfase4 3" xfId="39"/>
    <cellStyle name="40% - Ênfase4 3 2" xfId="40"/>
    <cellStyle name="40% - Ênfase5 2" xfId="41"/>
    <cellStyle name="40% - Ênfase5 2 2" xfId="42"/>
    <cellStyle name="40% - Ênfase5 3" xfId="43"/>
    <cellStyle name="40% - Ênfase5 3 2" xfId="44"/>
    <cellStyle name="40% - Ênfase6 2" xfId="45"/>
    <cellStyle name="40% - Ênfase6 2 2" xfId="46"/>
    <cellStyle name="40% - Ênfase6 3" xfId="47"/>
    <cellStyle name="40% - Ênfase6 3 2" xfId="48"/>
    <cellStyle name="60% - Ênfase1 2" xfId="49"/>
    <cellStyle name="60% - Ênfase1 3" xfId="50"/>
    <cellStyle name="60% - Ênfase2 2" xfId="51"/>
    <cellStyle name="60% - Ênfase2 3" xfId="52"/>
    <cellStyle name="60% - Ênfase3 2" xfId="53"/>
    <cellStyle name="60% - Ênfase3 3" xfId="54"/>
    <cellStyle name="60% - Ênfase4 2" xfId="55"/>
    <cellStyle name="60% - Ênfase4 3" xfId="56"/>
    <cellStyle name="60% - Ênfase5 2" xfId="57"/>
    <cellStyle name="60% - Ênfase5 3" xfId="58"/>
    <cellStyle name="60% - Ênfase6 2" xfId="59"/>
    <cellStyle name="60% - Ênfase6 3" xfId="60"/>
    <cellStyle name="Bom 2" xfId="61"/>
    <cellStyle name="Bom 3" xfId="62"/>
    <cellStyle name="Cálculo 2" xfId="63"/>
    <cellStyle name="Cálculo 3" xfId="64"/>
    <cellStyle name="Cancel" xfId="65"/>
    <cellStyle name="Cancel 2" xfId="66"/>
    <cellStyle name="Cancel 3" xfId="67"/>
    <cellStyle name="Cancel 4" xfId="68"/>
    <cellStyle name="Cancel 5" xfId="69"/>
    <cellStyle name="Célula de Verificação 2" xfId="70"/>
    <cellStyle name="Célula de Verificação 3" xfId="71"/>
    <cellStyle name="Célula Vinculada 2" xfId="72"/>
    <cellStyle name="Célula Vinculada 3" xfId="73"/>
    <cellStyle name="Ênfase1 2" xfId="74"/>
    <cellStyle name="Ênfase1 3" xfId="75"/>
    <cellStyle name="Ênfase2 2" xfId="76"/>
    <cellStyle name="Ênfase2 3" xfId="77"/>
    <cellStyle name="Ênfase3 2" xfId="78"/>
    <cellStyle name="Ênfase3 3" xfId="79"/>
    <cellStyle name="Ênfase4 2" xfId="80"/>
    <cellStyle name="Ênfase4 3" xfId="81"/>
    <cellStyle name="Ênfase5 2" xfId="82"/>
    <cellStyle name="Ênfase5 3" xfId="83"/>
    <cellStyle name="Ênfase6 2" xfId="84"/>
    <cellStyle name="Ênfase6 3" xfId="85"/>
    <cellStyle name="Entrada 2" xfId="86"/>
    <cellStyle name="Entrada 3" xfId="87"/>
    <cellStyle name="Incorreto 2" xfId="88"/>
    <cellStyle name="Incorreto 3" xfId="89"/>
    <cellStyle name="Moeda 2" xfId="90"/>
    <cellStyle name="Moeda 2 2" xfId="91"/>
    <cellStyle name="Moeda 3" xfId="92"/>
    <cellStyle name="Moeda 4" xfId="93"/>
    <cellStyle name="Neutra 2" xfId="94"/>
    <cellStyle name="Neutra 3" xfId="95"/>
    <cellStyle name="Normal" xfId="0" builtinId="0"/>
    <cellStyle name="Normal 2" xfId="96"/>
    <cellStyle name="Normal 2 2" xfId="97"/>
    <cellStyle name="Normal 2 5" xfId="98"/>
    <cellStyle name="Normal 3" xfId="99"/>
    <cellStyle name="Normal 4" xfId="100"/>
    <cellStyle name="Normal 4 2" xfId="101"/>
    <cellStyle name="Normal 5" xfId="102"/>
    <cellStyle name="Normal 5 2" xfId="103"/>
    <cellStyle name="Normal 6" xfId="104"/>
    <cellStyle name="Normal 6 2" xfId="105"/>
    <cellStyle name="Normal 7" xfId="106"/>
    <cellStyle name="Normal_Planilha limpeza urbana" xfId="107"/>
    <cellStyle name="Nota 2" xfId="108"/>
    <cellStyle name="Nota 2 2" xfId="109"/>
    <cellStyle name="Nota 3" xfId="110"/>
    <cellStyle name="Nota 3 2" xfId="111"/>
    <cellStyle name="Porcentagem" xfId="112" builtinId="5"/>
    <cellStyle name="Porcentagem 2" xfId="113"/>
    <cellStyle name="Porcentagem 2 2" xfId="114"/>
    <cellStyle name="Porcentagem 3" xfId="115"/>
    <cellStyle name="Porcentagem 4" xfId="116"/>
    <cellStyle name="Saída 2" xfId="117"/>
    <cellStyle name="Saída 3" xfId="118"/>
    <cellStyle name="Separador de milhares 2" xfId="119"/>
    <cellStyle name="Separador de milhares 2 2" xfId="120"/>
    <cellStyle name="Separador de milhares 3" xfId="121"/>
    <cellStyle name="Separador de milhares 3 2" xfId="122"/>
    <cellStyle name="Separador de milhares 3 3" xfId="123"/>
    <cellStyle name="Separador de milhares 4" xfId="124"/>
    <cellStyle name="Separador de milhares 4 2" xfId="125"/>
    <cellStyle name="Separador de milhares 4 3" xfId="126"/>
    <cellStyle name="Separador de milhares 5" xfId="127"/>
    <cellStyle name="Texto de Aviso 2" xfId="128"/>
    <cellStyle name="Texto de Aviso 3" xfId="129"/>
    <cellStyle name="Texto Explicativo 2" xfId="130"/>
    <cellStyle name="Texto Explicativo 3" xfId="131"/>
    <cellStyle name="Título 1 2" xfId="132"/>
    <cellStyle name="Título 1 3" xfId="133"/>
    <cellStyle name="Título 2 2" xfId="134"/>
    <cellStyle name="Título 2 3" xfId="135"/>
    <cellStyle name="Título 3 2" xfId="136"/>
    <cellStyle name="Título 3 3" xfId="137"/>
    <cellStyle name="Título 4 2" xfId="138"/>
    <cellStyle name="Título 4 3" xfId="139"/>
    <cellStyle name="Título 5" xfId="140"/>
    <cellStyle name="Título 6" xfId="141"/>
    <cellStyle name="Total 2" xfId="142"/>
    <cellStyle name="Total 2 2" xfId="143"/>
    <cellStyle name="Total 3" xfId="144"/>
    <cellStyle name="Total 3 2" xfId="145"/>
    <cellStyle name="Vírgula" xfId="146" builtinId="3"/>
    <cellStyle name="Vírgula 2" xfId="147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EB4E3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D9D9D9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BFBFBF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wmf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wmf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w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0</xdr:row>
      <xdr:rowOff>0</xdr:rowOff>
    </xdr:from>
    <xdr:to>
      <xdr:col>0</xdr:col>
      <xdr:colOff>638175</xdr:colOff>
      <xdr:row>0</xdr:row>
      <xdr:rowOff>0</xdr:rowOff>
    </xdr:to>
    <xdr:pic>
      <xdr:nvPicPr>
        <xdr:cNvPr id="2232" name="Imagem 1">
          <a:extLst>
            <a:ext uri="{FF2B5EF4-FFF2-40B4-BE49-F238E27FC236}">
              <a16:creationId xmlns:a16="http://schemas.microsoft.com/office/drawing/2014/main" id="{00000000-0008-0000-0000-0000B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0"/>
          <a:ext cx="51435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360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0</xdr:row>
      <xdr:rowOff>0</xdr:rowOff>
    </xdr:from>
    <xdr:to>
      <xdr:col>0</xdr:col>
      <xdr:colOff>638175</xdr:colOff>
      <xdr:row>0</xdr:row>
      <xdr:rowOff>0</xdr:rowOff>
    </xdr:to>
    <xdr:pic>
      <xdr:nvPicPr>
        <xdr:cNvPr id="13628" name="Imagem 1">
          <a:extLst>
            <a:ext uri="{FF2B5EF4-FFF2-40B4-BE49-F238E27FC236}">
              <a16:creationId xmlns:a16="http://schemas.microsoft.com/office/drawing/2014/main" id="{00000000-0008-0000-0100-00003C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0"/>
          <a:ext cx="51435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360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0</xdr:row>
      <xdr:rowOff>0</xdr:rowOff>
    </xdr:from>
    <xdr:to>
      <xdr:col>0</xdr:col>
      <xdr:colOff>390525</xdr:colOff>
      <xdr:row>0</xdr:row>
      <xdr:rowOff>0</xdr:rowOff>
    </xdr:to>
    <xdr:pic>
      <xdr:nvPicPr>
        <xdr:cNvPr id="20664" name="Imagem 1">
          <a:extLst>
            <a:ext uri="{FF2B5EF4-FFF2-40B4-BE49-F238E27FC236}">
              <a16:creationId xmlns:a16="http://schemas.microsoft.com/office/drawing/2014/main" id="{00000000-0008-0000-0200-0000B85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0"/>
          <a:ext cx="2667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360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oneCellAnchor>
    <xdr:from>
      <xdr:col>1</xdr:col>
      <xdr:colOff>1495844</xdr:colOff>
      <xdr:row>0</xdr:row>
      <xdr:rowOff>96995</xdr:rowOff>
    </xdr:from>
    <xdr:ext cx="533400" cy="500429"/>
    <xdr:pic>
      <xdr:nvPicPr>
        <xdr:cNvPr id="4" name="Imagem 2">
          <a:extLst>
            <a:ext uri="{FF2B5EF4-FFF2-40B4-BE49-F238E27FC236}">
              <a16:creationId xmlns:a16="http://schemas.microsoft.com/office/drawing/2014/main" id="{C2B31211-0995-4745-B4D5-0F42D004D715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0404" y="96995"/>
          <a:ext cx="533400" cy="5004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674182</xdr:colOff>
      <xdr:row>0</xdr:row>
      <xdr:rowOff>83980</xdr:rowOff>
    </xdr:from>
    <xdr:ext cx="533400" cy="500429"/>
    <xdr:pic>
      <xdr:nvPicPr>
        <xdr:cNvPr id="5" name="Picture 56">
          <a:extLst>
            <a:ext uri="{FF2B5EF4-FFF2-40B4-BE49-F238E27FC236}">
              <a16:creationId xmlns:a16="http://schemas.microsoft.com/office/drawing/2014/main" id="{4FFDC6BE-FDE3-47BB-AEC4-5B51E3F92CE6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93880" y="83980"/>
          <a:ext cx="533400" cy="5004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0</xdr:row>
      <xdr:rowOff>0</xdr:rowOff>
    </xdr:from>
    <xdr:to>
      <xdr:col>0</xdr:col>
      <xdr:colOff>390525</xdr:colOff>
      <xdr:row>0</xdr:row>
      <xdr:rowOff>0</xdr:rowOff>
    </xdr:to>
    <xdr:pic>
      <xdr:nvPicPr>
        <xdr:cNvPr id="21689" name="Imagem 1">
          <a:extLst>
            <a:ext uri="{FF2B5EF4-FFF2-40B4-BE49-F238E27FC236}">
              <a16:creationId xmlns:a16="http://schemas.microsoft.com/office/drawing/2014/main" id="{00000000-0008-0000-0300-0000B95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0"/>
          <a:ext cx="2667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360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1</xdr:col>
      <xdr:colOff>676275</xdr:colOff>
      <xdr:row>0</xdr:row>
      <xdr:rowOff>76200</xdr:rowOff>
    </xdr:from>
    <xdr:to>
      <xdr:col>1</xdr:col>
      <xdr:colOff>1209675</xdr:colOff>
      <xdr:row>2</xdr:row>
      <xdr:rowOff>180975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4858F42D-0FC2-409F-9F2D-1FB70389933E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" y="76200"/>
          <a:ext cx="5334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295275</xdr:colOff>
      <xdr:row>0</xdr:row>
      <xdr:rowOff>57150</xdr:rowOff>
    </xdr:from>
    <xdr:to>
      <xdr:col>11</xdr:col>
      <xdr:colOff>828675</xdr:colOff>
      <xdr:row>2</xdr:row>
      <xdr:rowOff>161925</xdr:rowOff>
    </xdr:to>
    <xdr:pic>
      <xdr:nvPicPr>
        <xdr:cNvPr id="3" name="Picture 56">
          <a:extLst>
            <a:ext uri="{FF2B5EF4-FFF2-40B4-BE49-F238E27FC236}">
              <a16:creationId xmlns:a16="http://schemas.microsoft.com/office/drawing/2014/main" id="{8390785D-F84B-4178-A4A6-003E6D94863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0125" y="781050"/>
          <a:ext cx="5334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0</xdr:row>
      <xdr:rowOff>0</xdr:rowOff>
    </xdr:from>
    <xdr:to>
      <xdr:col>0</xdr:col>
      <xdr:colOff>390525</xdr:colOff>
      <xdr:row>0</xdr:row>
      <xdr:rowOff>0</xdr:rowOff>
    </xdr:to>
    <xdr:pic>
      <xdr:nvPicPr>
        <xdr:cNvPr id="23738" name="Imagem 1">
          <a:extLst>
            <a:ext uri="{FF2B5EF4-FFF2-40B4-BE49-F238E27FC236}">
              <a16:creationId xmlns:a16="http://schemas.microsoft.com/office/drawing/2014/main" id="{00000000-0008-0000-0400-0000BA5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0"/>
          <a:ext cx="2667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360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1</xdr:col>
      <xdr:colOff>485774</xdr:colOff>
      <xdr:row>0</xdr:row>
      <xdr:rowOff>47625</xdr:rowOff>
    </xdr:from>
    <xdr:to>
      <xdr:col>1</xdr:col>
      <xdr:colOff>1028699</xdr:colOff>
      <xdr:row>2</xdr:row>
      <xdr:rowOff>171450</xdr:rowOff>
    </xdr:to>
    <xdr:pic>
      <xdr:nvPicPr>
        <xdr:cNvPr id="4" name="Imagem 2">
          <a:extLst>
            <a:ext uri="{FF2B5EF4-FFF2-40B4-BE49-F238E27FC236}">
              <a16:creationId xmlns:a16="http://schemas.microsoft.com/office/drawing/2014/main" id="{CF03AD98-7464-426F-9B09-6C764A7CD239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4" y="47625"/>
          <a:ext cx="5429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9525</xdr:colOff>
      <xdr:row>0</xdr:row>
      <xdr:rowOff>47624</xdr:rowOff>
    </xdr:from>
    <xdr:to>
      <xdr:col>17</xdr:col>
      <xdr:colOff>600075</xdr:colOff>
      <xdr:row>2</xdr:row>
      <xdr:rowOff>152400</xdr:rowOff>
    </xdr:to>
    <xdr:pic>
      <xdr:nvPicPr>
        <xdr:cNvPr id="5" name="Picture 56">
          <a:extLst>
            <a:ext uri="{FF2B5EF4-FFF2-40B4-BE49-F238E27FC236}">
              <a16:creationId xmlns:a16="http://schemas.microsoft.com/office/drawing/2014/main" id="{5651E92A-A670-4AA6-B2EF-8B18AAAC749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47624"/>
          <a:ext cx="590550" cy="4857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95249</xdr:colOff>
      <xdr:row>0</xdr:row>
      <xdr:rowOff>66675</xdr:rowOff>
    </xdr:from>
    <xdr:to>
      <xdr:col>1</xdr:col>
      <xdr:colOff>638174</xdr:colOff>
      <xdr:row>2</xdr:row>
      <xdr:rowOff>171450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1A9C5812-4DDD-4880-AC84-A8B05AC6AE3A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4" y="66675"/>
          <a:ext cx="54292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209550</xdr:colOff>
      <xdr:row>0</xdr:row>
      <xdr:rowOff>57150</xdr:rowOff>
    </xdr:from>
    <xdr:to>
      <xdr:col>5</xdr:col>
      <xdr:colOff>762000</xdr:colOff>
      <xdr:row>2</xdr:row>
      <xdr:rowOff>152400</xdr:rowOff>
    </xdr:to>
    <xdr:pic>
      <xdr:nvPicPr>
        <xdr:cNvPr id="3" name="Picture 56">
          <a:extLst>
            <a:ext uri="{FF2B5EF4-FFF2-40B4-BE49-F238E27FC236}">
              <a16:creationId xmlns:a16="http://schemas.microsoft.com/office/drawing/2014/main" id="{E0A952CC-D4F2-49F3-AA0A-34B300729DE7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0700" y="247650"/>
          <a:ext cx="5524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">
    <pageSetUpPr fitToPage="1"/>
  </sheetPr>
  <dimension ref="A2:E66"/>
  <sheetViews>
    <sheetView view="pageBreakPreview" zoomScaleNormal="100" zoomScaleSheetLayoutView="100" workbookViewId="0">
      <selection activeCell="A2" sqref="A2:D2"/>
    </sheetView>
  </sheetViews>
  <sheetFormatPr defaultColWidth="10.140625" defaultRowHeight="15"/>
  <cols>
    <col min="1" max="1" width="11.85546875" style="1" customWidth="1"/>
    <col min="2" max="2" width="68.42578125" style="1" customWidth="1"/>
    <col min="3" max="3" width="14.28515625" style="1" bestFit="1" customWidth="1"/>
    <col min="4" max="4" width="106.5703125" style="1" customWidth="1"/>
    <col min="5" max="5" width="19.7109375" style="1" customWidth="1"/>
    <col min="6" max="14" width="11.85546875" style="1" customWidth="1"/>
    <col min="15" max="16384" width="10.140625" style="1"/>
  </cols>
  <sheetData>
    <row r="2" spans="1:4" ht="16.5">
      <c r="A2" s="105" t="s">
        <v>118</v>
      </c>
      <c r="B2" s="105"/>
      <c r="C2" s="105"/>
      <c r="D2" s="105"/>
    </row>
    <row r="3" spans="1:4">
      <c r="A3" s="91"/>
      <c r="B3" s="91"/>
      <c r="C3" s="91"/>
      <c r="D3" s="91"/>
    </row>
    <row r="4" spans="1:4" ht="31.5">
      <c r="A4" s="52" t="s">
        <v>2</v>
      </c>
      <c r="B4" s="52" t="s">
        <v>3</v>
      </c>
      <c r="C4" s="61" t="s">
        <v>4</v>
      </c>
      <c r="D4" s="61" t="s">
        <v>5</v>
      </c>
    </row>
    <row r="5" spans="1:4">
      <c r="A5" s="106"/>
      <c r="B5" s="107"/>
      <c r="C5" s="107"/>
      <c r="D5" s="108"/>
    </row>
    <row r="6" spans="1:4" ht="15.75">
      <c r="A6" s="92" t="s">
        <v>6</v>
      </c>
      <c r="B6" s="45"/>
      <c r="C6" s="45"/>
      <c r="D6" s="45"/>
    </row>
    <row r="7" spans="1:4">
      <c r="A7" s="69" t="s">
        <v>7</v>
      </c>
      <c r="B7" s="94" t="s">
        <v>8</v>
      </c>
      <c r="C7" s="62">
        <v>0.2</v>
      </c>
      <c r="D7" s="94" t="s">
        <v>9</v>
      </c>
    </row>
    <row r="8" spans="1:4">
      <c r="A8" s="69" t="s">
        <v>10</v>
      </c>
      <c r="B8" s="94" t="s">
        <v>11</v>
      </c>
      <c r="C8" s="62">
        <v>0.08</v>
      </c>
      <c r="D8" s="94" t="s">
        <v>12</v>
      </c>
    </row>
    <row r="9" spans="1:4">
      <c r="A9" s="69" t="s">
        <v>13</v>
      </c>
      <c r="B9" s="94" t="s">
        <v>14</v>
      </c>
      <c r="C9" s="62">
        <v>1.4999999999999999E-2</v>
      </c>
      <c r="D9" s="94" t="s">
        <v>15</v>
      </c>
    </row>
    <row r="10" spans="1:4">
      <c r="A10" s="69" t="s">
        <v>16</v>
      </c>
      <c r="B10" s="94" t="s">
        <v>17</v>
      </c>
      <c r="C10" s="62">
        <v>0.01</v>
      </c>
      <c r="D10" s="94" t="s">
        <v>18</v>
      </c>
    </row>
    <row r="11" spans="1:4">
      <c r="A11" s="69" t="s">
        <v>19</v>
      </c>
      <c r="B11" s="94" t="s">
        <v>20</v>
      </c>
      <c r="C11" s="62">
        <v>2E-3</v>
      </c>
      <c r="D11" s="94" t="s">
        <v>21</v>
      </c>
    </row>
    <row r="12" spans="1:4">
      <c r="A12" s="69" t="s">
        <v>22</v>
      </c>
      <c r="B12" s="94" t="s">
        <v>23</v>
      </c>
      <c r="C12" s="62">
        <v>6.0000000000000001E-3</v>
      </c>
      <c r="D12" s="94" t="s">
        <v>24</v>
      </c>
    </row>
    <row r="13" spans="1:4">
      <c r="A13" s="69" t="s">
        <v>25</v>
      </c>
      <c r="B13" s="94" t="s">
        <v>26</v>
      </c>
      <c r="C13" s="62">
        <v>2.5000000000000001E-2</v>
      </c>
      <c r="D13" s="94" t="s">
        <v>27</v>
      </c>
    </row>
    <row r="14" spans="1:4">
      <c r="A14" s="69" t="s">
        <v>28</v>
      </c>
      <c r="B14" s="81" t="s">
        <v>29</v>
      </c>
      <c r="C14" s="64">
        <v>0.06</v>
      </c>
      <c r="D14" s="81" t="s">
        <v>125</v>
      </c>
    </row>
    <row r="15" spans="1:4" ht="15.75">
      <c r="A15" s="92" t="s">
        <v>30</v>
      </c>
      <c r="B15" s="52"/>
      <c r="C15" s="53">
        <f>SUM(C7:C14)</f>
        <v>0.39800000000000008</v>
      </c>
      <c r="D15" s="52"/>
    </row>
    <row r="16" spans="1:4">
      <c r="A16" s="106"/>
      <c r="B16" s="107"/>
      <c r="C16" s="107"/>
      <c r="D16" s="108"/>
    </row>
    <row r="17" spans="1:4" ht="15.75">
      <c r="A17" s="92" t="s">
        <v>31</v>
      </c>
      <c r="B17" s="45"/>
      <c r="C17" s="45"/>
      <c r="D17" s="45"/>
    </row>
    <row r="18" spans="1:4">
      <c r="A18" s="69" t="s">
        <v>32</v>
      </c>
      <c r="B18" s="94" t="s">
        <v>33</v>
      </c>
      <c r="C18" s="62">
        <v>8.3330000000000001E-2</v>
      </c>
      <c r="D18" s="69" t="s">
        <v>34</v>
      </c>
    </row>
    <row r="19" spans="1:4">
      <c r="A19" s="69" t="s">
        <v>35</v>
      </c>
      <c r="B19" s="94" t="s">
        <v>36</v>
      </c>
      <c r="C19" s="62">
        <v>8.3330000000000001E-2</v>
      </c>
      <c r="D19" s="69" t="s">
        <v>34</v>
      </c>
    </row>
    <row r="20" spans="1:4">
      <c r="A20" s="69" t="s">
        <v>37</v>
      </c>
      <c r="B20" s="94" t="s">
        <v>38</v>
      </c>
      <c r="C20" s="62">
        <v>1.9439999999999999E-2</v>
      </c>
      <c r="D20" s="69" t="s">
        <v>192</v>
      </c>
    </row>
    <row r="21" spans="1:4">
      <c r="A21" s="69" t="s">
        <v>39</v>
      </c>
      <c r="B21" s="94" t="s">
        <v>40</v>
      </c>
      <c r="C21" s="62">
        <v>2.2200000000000002E-3</v>
      </c>
      <c r="D21" s="69" t="s">
        <v>189</v>
      </c>
    </row>
    <row r="22" spans="1:4">
      <c r="A22" s="69" t="s">
        <v>41</v>
      </c>
      <c r="B22" s="94" t="s">
        <v>42</v>
      </c>
      <c r="C22" s="62">
        <v>5.1000000000000004E-4</v>
      </c>
      <c r="D22" s="69" t="s">
        <v>191</v>
      </c>
    </row>
    <row r="23" spans="1:4">
      <c r="A23" s="69" t="s">
        <v>43</v>
      </c>
      <c r="B23" s="94" t="s">
        <v>44</v>
      </c>
      <c r="C23" s="62">
        <v>4.15E-3</v>
      </c>
      <c r="D23" s="69" t="s">
        <v>190</v>
      </c>
    </row>
    <row r="24" spans="1:4">
      <c r="A24" s="69" t="s">
        <v>45</v>
      </c>
      <c r="B24" s="94" t="s">
        <v>46</v>
      </c>
      <c r="C24" s="62">
        <v>3.8999999999999999E-4</v>
      </c>
      <c r="D24" s="69" t="s">
        <v>193</v>
      </c>
    </row>
    <row r="25" spans="1:4">
      <c r="A25" s="69" t="s">
        <v>47</v>
      </c>
      <c r="B25" s="63" t="s">
        <v>48</v>
      </c>
      <c r="C25" s="65">
        <v>2.0000000000000001E-4</v>
      </c>
      <c r="D25" s="63" t="s">
        <v>194</v>
      </c>
    </row>
    <row r="26" spans="1:4" ht="15.75">
      <c r="A26" s="92" t="s">
        <v>49</v>
      </c>
      <c r="B26" s="52"/>
      <c r="C26" s="53">
        <f>SUM(C18:C25)</f>
        <v>0.19356999999999999</v>
      </c>
      <c r="D26" s="52"/>
    </row>
    <row r="27" spans="1:4">
      <c r="A27" s="106"/>
      <c r="B27" s="107"/>
      <c r="C27" s="107"/>
      <c r="D27" s="108"/>
    </row>
    <row r="28" spans="1:4" ht="15.75">
      <c r="A28" s="92" t="s">
        <v>50</v>
      </c>
      <c r="B28" s="45"/>
      <c r="C28" s="45"/>
      <c r="D28" s="45"/>
    </row>
    <row r="29" spans="1:4">
      <c r="A29" s="69" t="s">
        <v>51</v>
      </c>
      <c r="B29" s="69" t="s">
        <v>52</v>
      </c>
      <c r="C29" s="62">
        <v>4.1700000000000001E-3</v>
      </c>
      <c r="D29" s="69" t="s">
        <v>195</v>
      </c>
    </row>
    <row r="30" spans="1:4">
      <c r="A30" s="69" t="s">
        <v>53</v>
      </c>
      <c r="B30" s="69" t="s">
        <v>54</v>
      </c>
      <c r="C30" s="62">
        <v>2.8600000000000001E-3</v>
      </c>
      <c r="D30" s="69" t="s">
        <v>196</v>
      </c>
    </row>
    <row r="31" spans="1:4">
      <c r="A31" s="69" t="s">
        <v>55</v>
      </c>
      <c r="B31" s="69" t="s">
        <v>56</v>
      </c>
      <c r="C31" s="62">
        <v>3.2000000000000001E-2</v>
      </c>
      <c r="D31" s="69" t="s">
        <v>197</v>
      </c>
    </row>
    <row r="32" spans="1:4">
      <c r="A32" s="69" t="s">
        <v>57</v>
      </c>
      <c r="B32" s="69" t="s">
        <v>127</v>
      </c>
      <c r="C32" s="62">
        <v>2.7779999999999999E-2</v>
      </c>
      <c r="D32" s="69" t="s">
        <v>128</v>
      </c>
    </row>
    <row r="33" spans="1:4">
      <c r="A33" s="69" t="s">
        <v>126</v>
      </c>
      <c r="B33" s="69" t="s">
        <v>129</v>
      </c>
      <c r="C33" s="62">
        <v>1.2999999999999999E-4</v>
      </c>
      <c r="D33" s="69" t="s">
        <v>130</v>
      </c>
    </row>
    <row r="34" spans="1:4" ht="15.75">
      <c r="A34" s="92" t="s">
        <v>58</v>
      </c>
      <c r="B34" s="45"/>
      <c r="C34" s="53">
        <f>SUM(C29:C33)</f>
        <v>6.6940000000000013E-2</v>
      </c>
      <c r="D34" s="45"/>
    </row>
    <row r="35" spans="1:4">
      <c r="A35" s="106"/>
      <c r="B35" s="107"/>
      <c r="C35" s="107"/>
      <c r="D35" s="108"/>
    </row>
    <row r="36" spans="1:4" ht="15.75">
      <c r="A36" s="92" t="s">
        <v>59</v>
      </c>
      <c r="B36" s="45"/>
      <c r="C36" s="45"/>
      <c r="D36" s="45"/>
    </row>
    <row r="37" spans="1:4">
      <c r="A37" s="69" t="s">
        <v>60</v>
      </c>
      <c r="B37" s="69" t="s">
        <v>61</v>
      </c>
      <c r="C37" s="66">
        <f>ROUND(C15*C26,5)</f>
        <v>7.7039999999999997E-2</v>
      </c>
      <c r="D37" s="67" t="s">
        <v>188</v>
      </c>
    </row>
    <row r="38" spans="1:4" ht="15.75">
      <c r="A38" s="92" t="s">
        <v>62</v>
      </c>
      <c r="B38" s="45"/>
      <c r="C38" s="53">
        <f>C37</f>
        <v>7.7039999999999997E-2</v>
      </c>
      <c r="D38" s="45"/>
    </row>
    <row r="39" spans="1:4">
      <c r="A39" s="106"/>
      <c r="B39" s="107"/>
      <c r="C39" s="107"/>
      <c r="D39" s="108"/>
    </row>
    <row r="40" spans="1:4" ht="15.75">
      <c r="A40" s="92" t="s">
        <v>63</v>
      </c>
      <c r="B40" s="45"/>
      <c r="C40" s="45"/>
      <c r="D40" s="45"/>
    </row>
    <row r="41" spans="1:4">
      <c r="A41" s="69" t="s">
        <v>64</v>
      </c>
      <c r="B41" s="69" t="s">
        <v>65</v>
      </c>
      <c r="C41" s="62">
        <v>3.3E-4</v>
      </c>
      <c r="D41" s="69" t="s">
        <v>66</v>
      </c>
    </row>
    <row r="42" spans="1:4">
      <c r="A42" s="69" t="s">
        <v>67</v>
      </c>
      <c r="B42" s="69" t="s">
        <v>68</v>
      </c>
      <c r="C42" s="62">
        <v>4.0000000000000003E-5</v>
      </c>
      <c r="D42" s="69" t="s">
        <v>198</v>
      </c>
    </row>
    <row r="43" spans="1:4">
      <c r="A43" s="69" t="s">
        <v>131</v>
      </c>
      <c r="B43" s="69" t="s">
        <v>132</v>
      </c>
      <c r="C43" s="62">
        <v>2.2200000000000002E-3</v>
      </c>
      <c r="D43" s="69" t="s">
        <v>133</v>
      </c>
    </row>
    <row r="44" spans="1:4" ht="15.75">
      <c r="A44" s="92" t="s">
        <v>69</v>
      </c>
      <c r="B44" s="45"/>
      <c r="C44" s="53">
        <f>SUM(C41:C43)</f>
        <v>2.5900000000000003E-3</v>
      </c>
      <c r="D44" s="45"/>
    </row>
    <row r="45" spans="1:4">
      <c r="A45" s="106"/>
      <c r="B45" s="107"/>
      <c r="C45" s="107"/>
      <c r="D45" s="108"/>
    </row>
    <row r="46" spans="1:4" ht="15.75">
      <c r="A46" s="92" t="s">
        <v>70</v>
      </c>
      <c r="B46" s="45"/>
      <c r="C46" s="45"/>
      <c r="D46" s="45"/>
    </row>
    <row r="47" spans="1:4" ht="30">
      <c r="A47" s="94" t="s">
        <v>71</v>
      </c>
      <c r="B47" s="94" t="s">
        <v>72</v>
      </c>
      <c r="C47" s="66">
        <v>2.65E-3</v>
      </c>
      <c r="D47" s="63" t="s">
        <v>199</v>
      </c>
    </row>
    <row r="48" spans="1:4" ht="15.75">
      <c r="A48" s="92" t="s">
        <v>73</v>
      </c>
      <c r="B48" s="45"/>
      <c r="C48" s="53">
        <f>C47</f>
        <v>2.65E-3</v>
      </c>
      <c r="D48" s="45"/>
    </row>
    <row r="49" spans="1:5">
      <c r="A49" s="106"/>
      <c r="B49" s="107"/>
      <c r="C49" s="107"/>
      <c r="D49" s="108"/>
    </row>
    <row r="50" spans="1:5" ht="15.75">
      <c r="A50" s="92" t="s">
        <v>74</v>
      </c>
      <c r="B50" s="45"/>
      <c r="C50" s="53">
        <f>SUM(C48,C44,C38,C34,C26,C15)</f>
        <v>0.74079000000000006</v>
      </c>
      <c r="D50" s="45"/>
    </row>
    <row r="51" spans="1:5">
      <c r="A51" s="106"/>
      <c r="B51" s="107"/>
      <c r="C51" s="107"/>
      <c r="D51" s="108"/>
    </row>
    <row r="52" spans="1:5" ht="15.75">
      <c r="A52" s="92" t="s">
        <v>75</v>
      </c>
      <c r="B52" s="45"/>
      <c r="C52" s="45"/>
      <c r="D52" s="45"/>
    </row>
    <row r="53" spans="1:5">
      <c r="A53" s="69"/>
      <c r="B53" s="69" t="s">
        <v>76</v>
      </c>
      <c r="C53" s="66"/>
      <c r="D53" s="69" t="s">
        <v>77</v>
      </c>
    </row>
    <row r="54" spans="1:5" ht="15.75">
      <c r="A54" s="92"/>
      <c r="B54" s="45"/>
      <c r="C54" s="53"/>
      <c r="D54" s="45"/>
    </row>
    <row r="55" spans="1:5">
      <c r="A55" s="106"/>
      <c r="B55" s="107"/>
      <c r="C55" s="107"/>
      <c r="D55" s="108"/>
    </row>
    <row r="56" spans="1:5" ht="15.75">
      <c r="A56" s="92" t="s">
        <v>78</v>
      </c>
      <c r="B56" s="45"/>
      <c r="C56" s="45"/>
      <c r="D56" s="45"/>
    </row>
    <row r="57" spans="1:5">
      <c r="A57" s="42"/>
      <c r="B57" s="69" t="s">
        <v>79</v>
      </c>
      <c r="C57" s="62">
        <v>0.1</v>
      </c>
      <c r="D57" s="69"/>
      <c r="E57" s="2"/>
    </row>
    <row r="58" spans="1:5">
      <c r="A58" s="42"/>
      <c r="B58" s="69" t="s">
        <v>80</v>
      </c>
      <c r="C58" s="62">
        <v>0.05</v>
      </c>
      <c r="D58" s="69"/>
    </row>
    <row r="59" spans="1:5">
      <c r="A59" s="42"/>
      <c r="B59" s="69" t="s">
        <v>81</v>
      </c>
      <c r="C59" s="62">
        <v>0</v>
      </c>
      <c r="D59" s="69"/>
    </row>
    <row r="60" spans="1:5" ht="15.75">
      <c r="A60" s="92" t="s">
        <v>82</v>
      </c>
      <c r="B60" s="45"/>
      <c r="C60" s="53">
        <f>SUM(C57:C59)</f>
        <v>0.15000000000000002</v>
      </c>
      <c r="D60" s="45"/>
    </row>
    <row r="61" spans="1:5">
      <c r="A61" s="106"/>
      <c r="B61" s="107"/>
      <c r="C61" s="107"/>
      <c r="D61" s="108"/>
    </row>
    <row r="62" spans="1:5" ht="15.75">
      <c r="A62" s="92" t="s">
        <v>83</v>
      </c>
      <c r="B62" s="45"/>
      <c r="C62" s="45"/>
      <c r="D62" s="45"/>
    </row>
    <row r="63" spans="1:5">
      <c r="A63" s="42"/>
      <c r="B63" s="69" t="s">
        <v>109</v>
      </c>
      <c r="C63" s="62">
        <v>0.05</v>
      </c>
      <c r="D63" s="69"/>
    </row>
    <row r="64" spans="1:5">
      <c r="A64" s="42"/>
      <c r="B64" s="69" t="s">
        <v>84</v>
      </c>
      <c r="C64" s="62">
        <v>0.03</v>
      </c>
      <c r="D64" s="69"/>
    </row>
    <row r="65" spans="1:4">
      <c r="A65" s="42"/>
      <c r="B65" s="69" t="s">
        <v>85</v>
      </c>
      <c r="C65" s="62">
        <v>6.4999999999999997E-3</v>
      </c>
      <c r="D65" s="69"/>
    </row>
    <row r="66" spans="1:4" ht="15.75">
      <c r="A66" s="92" t="s">
        <v>86</v>
      </c>
      <c r="B66" s="45"/>
      <c r="C66" s="53">
        <f>SUM(C63:C65)</f>
        <v>8.6500000000000007E-2</v>
      </c>
      <c r="D66" s="45"/>
    </row>
  </sheetData>
  <sheetProtection selectLockedCells="1" selectUnlockedCells="1"/>
  <mergeCells count="11">
    <mergeCell ref="A61:D61"/>
    <mergeCell ref="A39:D39"/>
    <mergeCell ref="A45:D45"/>
    <mergeCell ref="A49:D49"/>
    <mergeCell ref="A51:D51"/>
    <mergeCell ref="A55:D55"/>
    <mergeCell ref="A2:D2"/>
    <mergeCell ref="A5:D5"/>
    <mergeCell ref="A16:D16"/>
    <mergeCell ref="A27:D27"/>
    <mergeCell ref="A35:D35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66" firstPageNumber="0" fitToHeight="0" orientation="landscape" verticalDpi="300" r:id="rId1"/>
  <headerFooter alignWithMargins="0"/>
  <rowBreaks count="1" manualBreakCount="1">
    <brk id="45" max="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3">
    <pageSetUpPr fitToPage="1"/>
  </sheetPr>
  <dimension ref="A2:H65"/>
  <sheetViews>
    <sheetView view="pageBreakPreview" topLeftCell="A31" zoomScaleNormal="100" zoomScaleSheetLayoutView="100" workbookViewId="0">
      <selection activeCell="B57" sqref="B57"/>
    </sheetView>
  </sheetViews>
  <sheetFormatPr defaultColWidth="10.140625" defaultRowHeight="15"/>
  <cols>
    <col min="1" max="1" width="11.85546875" style="1" customWidth="1"/>
    <col min="2" max="2" width="70.85546875" style="1" bestFit="1" customWidth="1"/>
    <col min="3" max="3" width="11.5703125" style="1" customWidth="1"/>
    <col min="4" max="4" width="15.28515625" style="1" bestFit="1" customWidth="1"/>
    <col min="5" max="5" width="11.85546875" style="1" customWidth="1"/>
    <col min="6" max="6" width="70.85546875" style="1" customWidth="1"/>
    <col min="7" max="7" width="11.5703125" style="1" customWidth="1"/>
    <col min="8" max="8" width="15.28515625" style="1" customWidth="1"/>
    <col min="9" max="9" width="11.85546875" style="1" customWidth="1"/>
    <col min="10" max="16384" width="10.140625" style="1"/>
  </cols>
  <sheetData>
    <row r="2" spans="1:8" ht="16.5">
      <c r="A2" s="109" t="s">
        <v>119</v>
      </c>
      <c r="B2" s="109"/>
      <c r="C2" s="109"/>
      <c r="D2" s="109"/>
      <c r="E2" s="109" t="s">
        <v>216</v>
      </c>
      <c r="F2" s="109"/>
      <c r="G2" s="109"/>
      <c r="H2" s="109"/>
    </row>
    <row r="3" spans="1:8">
      <c r="A3" s="43"/>
      <c r="B3" s="43"/>
      <c r="C3" s="43"/>
      <c r="D3" s="43"/>
      <c r="E3" s="43"/>
      <c r="F3" s="43"/>
      <c r="G3" s="43"/>
      <c r="H3" s="43"/>
    </row>
    <row r="4" spans="1:8" ht="15.75">
      <c r="A4" s="44" t="s">
        <v>87</v>
      </c>
      <c r="B4" s="45"/>
      <c r="C4" s="45"/>
      <c r="D4" s="45"/>
      <c r="E4" s="84" t="s">
        <v>87</v>
      </c>
      <c r="F4" s="85"/>
      <c r="G4" s="85"/>
      <c r="H4" s="86"/>
    </row>
    <row r="5" spans="1:8" ht="15.75">
      <c r="A5" s="46"/>
      <c r="B5" s="110" t="s">
        <v>137</v>
      </c>
      <c r="C5" s="111"/>
      <c r="D5" s="111"/>
      <c r="E5" s="43"/>
      <c r="F5" s="110" t="s">
        <v>137</v>
      </c>
      <c r="G5" s="111"/>
      <c r="H5" s="111"/>
    </row>
    <row r="6" spans="1:8">
      <c r="A6" s="41"/>
      <c r="B6" s="41" t="s">
        <v>217</v>
      </c>
      <c r="C6" s="47"/>
      <c r="D6" s="48">
        <v>1346.65</v>
      </c>
      <c r="E6" s="43"/>
      <c r="F6" s="69" t="s">
        <v>139</v>
      </c>
      <c r="G6" s="47"/>
      <c r="H6" s="48">
        <v>2151.23</v>
      </c>
    </row>
    <row r="7" spans="1:8">
      <c r="A7" s="49"/>
      <c r="B7" s="43"/>
      <c r="C7" s="43"/>
      <c r="D7" s="48"/>
      <c r="E7" s="43"/>
      <c r="F7" s="43"/>
      <c r="G7" s="43"/>
      <c r="H7" s="43"/>
    </row>
    <row r="8" spans="1:8" ht="15.75">
      <c r="A8" s="44" t="s">
        <v>88</v>
      </c>
      <c r="B8" s="45"/>
      <c r="C8" s="45"/>
      <c r="D8" s="50"/>
      <c r="E8" s="113" t="s">
        <v>88</v>
      </c>
      <c r="F8" s="113"/>
      <c r="G8" s="113"/>
      <c r="H8" s="113"/>
    </row>
    <row r="9" spans="1:8">
      <c r="A9" s="41"/>
      <c r="B9" s="41" t="s">
        <v>89</v>
      </c>
      <c r="C9" s="47"/>
      <c r="D9" s="51">
        <f>D6</f>
        <v>1346.65</v>
      </c>
      <c r="E9" s="69"/>
      <c r="F9" s="69" t="s">
        <v>89</v>
      </c>
      <c r="G9" s="47"/>
      <c r="H9" s="51">
        <f>H6</f>
        <v>2151.23</v>
      </c>
    </row>
    <row r="10" spans="1:8">
      <c r="A10" s="41"/>
      <c r="B10" s="41" t="s">
        <v>142</v>
      </c>
      <c r="C10" s="47"/>
      <c r="D10" s="48">
        <f>1302*0.4</f>
        <v>520.80000000000007</v>
      </c>
      <c r="E10" s="69"/>
      <c r="F10" s="69" t="s">
        <v>142</v>
      </c>
      <c r="G10" s="47"/>
      <c r="H10" s="48">
        <v>520.79999999999995</v>
      </c>
    </row>
    <row r="11" spans="1:8" ht="15.75">
      <c r="A11" s="44" t="s">
        <v>90</v>
      </c>
      <c r="B11" s="52"/>
      <c r="C11" s="53"/>
      <c r="D11" s="50">
        <f>SUM(D9:D10)</f>
        <v>1867.4500000000003</v>
      </c>
      <c r="E11" s="44" t="s">
        <v>90</v>
      </c>
      <c r="F11" s="52"/>
      <c r="G11" s="53"/>
      <c r="H11" s="50">
        <f>SUM(H9:H10)</f>
        <v>2672.0299999999997</v>
      </c>
    </row>
    <row r="12" spans="1:8">
      <c r="A12" s="49"/>
      <c r="B12" s="43"/>
      <c r="C12" s="43"/>
      <c r="D12" s="48"/>
      <c r="E12" s="43"/>
      <c r="F12" s="43"/>
      <c r="G12" s="43"/>
      <c r="H12" s="43"/>
    </row>
    <row r="13" spans="1:8" ht="15.75">
      <c r="A13" s="44" t="s">
        <v>91</v>
      </c>
      <c r="B13" s="45"/>
      <c r="C13" s="45"/>
      <c r="D13" s="50"/>
      <c r="E13" s="44" t="s">
        <v>91</v>
      </c>
      <c r="F13" s="45"/>
      <c r="G13" s="45"/>
      <c r="H13" s="50"/>
    </row>
    <row r="14" spans="1:8" ht="15.75">
      <c r="A14" s="44" t="str">
        <f>Encargos!A6</f>
        <v>Grupo A - Encargos sociais básicos</v>
      </c>
      <c r="B14" s="45"/>
      <c r="C14" s="45"/>
      <c r="D14" s="50"/>
      <c r="E14" s="44" t="s">
        <v>6</v>
      </c>
      <c r="F14" s="45"/>
      <c r="G14" s="45"/>
      <c r="H14" s="50"/>
    </row>
    <row r="15" spans="1:8">
      <c r="A15" s="41" t="str">
        <f>Encargos!A7</f>
        <v>A .01</v>
      </c>
      <c r="B15" s="41" t="str">
        <f>Encargos!B7</f>
        <v>INSS</v>
      </c>
      <c r="C15" s="54">
        <f>Encargos!C7</f>
        <v>0.2</v>
      </c>
      <c r="D15" s="48">
        <f>TRUNC(D$11*C15,2)</f>
        <v>373.49</v>
      </c>
      <c r="E15" s="87" t="s">
        <v>7</v>
      </c>
      <c r="F15" s="87" t="s">
        <v>8</v>
      </c>
      <c r="G15" s="54">
        <v>0.2</v>
      </c>
      <c r="H15" s="48">
        <f>TRUNC(H$11*G15,2)</f>
        <v>534.4</v>
      </c>
    </row>
    <row r="16" spans="1:8">
      <c r="A16" s="41" t="str">
        <f>Encargos!A8</f>
        <v>A .02</v>
      </c>
      <c r="B16" s="41" t="str">
        <f>Encargos!B8</f>
        <v>FGTS</v>
      </c>
      <c r="C16" s="54">
        <f>Encargos!C8</f>
        <v>0.08</v>
      </c>
      <c r="D16" s="48">
        <f t="shared" ref="D16:D22" si="0">TRUNC(D$11*C16,2)</f>
        <v>149.38999999999999</v>
      </c>
      <c r="E16" s="87" t="s">
        <v>10</v>
      </c>
      <c r="F16" s="87" t="s">
        <v>11</v>
      </c>
      <c r="G16" s="54">
        <v>0.08</v>
      </c>
      <c r="H16" s="48">
        <f t="shared" ref="H16:H22" si="1">TRUNC(H$11*G16,2)</f>
        <v>213.76</v>
      </c>
    </row>
    <row r="17" spans="1:8">
      <c r="A17" s="41" t="str">
        <f>Encargos!A9</f>
        <v>A .03</v>
      </c>
      <c r="B17" s="41" t="str">
        <f>Encargos!B9</f>
        <v>SESI / SESC</v>
      </c>
      <c r="C17" s="54">
        <f>Encargos!C9</f>
        <v>1.4999999999999999E-2</v>
      </c>
      <c r="D17" s="48">
        <f>TRUNC(D$11*C17,2)</f>
        <v>28.01</v>
      </c>
      <c r="E17" s="87" t="s">
        <v>13</v>
      </c>
      <c r="F17" s="87" t="s">
        <v>14</v>
      </c>
      <c r="G17" s="54">
        <v>1.4999999999999999E-2</v>
      </c>
      <c r="H17" s="48">
        <f t="shared" si="1"/>
        <v>40.08</v>
      </c>
    </row>
    <row r="18" spans="1:8">
      <c r="A18" s="41" t="str">
        <f>Encargos!A10</f>
        <v>A .04</v>
      </c>
      <c r="B18" s="41" t="str">
        <f>Encargos!B10</f>
        <v>SENAI / SENAC</v>
      </c>
      <c r="C18" s="54">
        <f>Encargos!C10</f>
        <v>0.01</v>
      </c>
      <c r="D18" s="48">
        <f t="shared" si="0"/>
        <v>18.670000000000002</v>
      </c>
      <c r="E18" s="87" t="s">
        <v>16</v>
      </c>
      <c r="F18" s="87" t="s">
        <v>17</v>
      </c>
      <c r="G18" s="54">
        <v>0.01</v>
      </c>
      <c r="H18" s="48">
        <f t="shared" si="1"/>
        <v>26.72</v>
      </c>
    </row>
    <row r="19" spans="1:8">
      <c r="A19" s="41" t="str">
        <f>Encargos!A11</f>
        <v>A .05</v>
      </c>
      <c r="B19" s="41" t="str">
        <f>Encargos!B11</f>
        <v>INCRA</v>
      </c>
      <c r="C19" s="54">
        <f>Encargos!C11</f>
        <v>2E-3</v>
      </c>
      <c r="D19" s="48">
        <f t="shared" si="0"/>
        <v>3.73</v>
      </c>
      <c r="E19" s="87" t="s">
        <v>19</v>
      </c>
      <c r="F19" s="87" t="s">
        <v>20</v>
      </c>
      <c r="G19" s="54">
        <v>2E-3</v>
      </c>
      <c r="H19" s="48">
        <f t="shared" si="1"/>
        <v>5.34</v>
      </c>
    </row>
    <row r="20" spans="1:8">
      <c r="A20" s="41" t="str">
        <f>Encargos!A12</f>
        <v>A .06</v>
      </c>
      <c r="B20" s="41" t="str">
        <f>Encargos!B12</f>
        <v>SEBRAE</v>
      </c>
      <c r="C20" s="54">
        <f>Encargos!C12</f>
        <v>6.0000000000000001E-3</v>
      </c>
      <c r="D20" s="48">
        <f t="shared" si="0"/>
        <v>11.2</v>
      </c>
      <c r="E20" s="87" t="s">
        <v>22</v>
      </c>
      <c r="F20" s="87" t="s">
        <v>23</v>
      </c>
      <c r="G20" s="54">
        <v>6.0000000000000001E-3</v>
      </c>
      <c r="H20" s="48">
        <f t="shared" si="1"/>
        <v>16.03</v>
      </c>
    </row>
    <row r="21" spans="1:8">
      <c r="A21" s="41" t="str">
        <f>Encargos!A13</f>
        <v>A .07</v>
      </c>
      <c r="B21" s="41" t="str">
        <f>Encargos!B13</f>
        <v>Salário Educação</v>
      </c>
      <c r="C21" s="54">
        <f>Encargos!C13</f>
        <v>2.5000000000000001E-2</v>
      </c>
      <c r="D21" s="48">
        <f t="shared" si="0"/>
        <v>46.68</v>
      </c>
      <c r="E21" s="87" t="s">
        <v>25</v>
      </c>
      <c r="F21" s="87" t="s">
        <v>26</v>
      </c>
      <c r="G21" s="54">
        <v>2.5000000000000001E-2</v>
      </c>
      <c r="H21" s="48">
        <f t="shared" si="1"/>
        <v>66.8</v>
      </c>
    </row>
    <row r="22" spans="1:8">
      <c r="A22" s="41" t="str">
        <f>Encargos!A14</f>
        <v>A .08</v>
      </c>
      <c r="B22" s="41" t="str">
        <f>Encargos!B14</f>
        <v>Riscos Ambientais do Trabalho (RAT x FAP)</v>
      </c>
      <c r="C22" s="54">
        <f>Encargos!C14</f>
        <v>0.06</v>
      </c>
      <c r="D22" s="48">
        <f t="shared" si="0"/>
        <v>112.04</v>
      </c>
      <c r="E22" s="87" t="s">
        <v>28</v>
      </c>
      <c r="F22" s="87" t="s">
        <v>29</v>
      </c>
      <c r="G22" s="54">
        <v>0.06</v>
      </c>
      <c r="H22" s="48">
        <f t="shared" si="1"/>
        <v>160.32</v>
      </c>
    </row>
    <row r="23" spans="1:8" ht="15.75">
      <c r="A23" s="44" t="str">
        <f>Encargos!A15</f>
        <v>Subtotal do Grupo A</v>
      </c>
      <c r="B23" s="52"/>
      <c r="C23" s="53">
        <f>SUM(C15:C22)</f>
        <v>0.39800000000000008</v>
      </c>
      <c r="D23" s="50">
        <f>SUM(D15:D22)</f>
        <v>743.20999999999992</v>
      </c>
      <c r="E23" s="44" t="s">
        <v>30</v>
      </c>
      <c r="F23" s="52"/>
      <c r="G23" s="53">
        <v>0.39800000000000008</v>
      </c>
      <c r="H23" s="50">
        <f>SUM(H15:H22)</f>
        <v>1063.45</v>
      </c>
    </row>
    <row r="24" spans="1:8">
      <c r="A24" s="43"/>
      <c r="B24" s="43"/>
      <c r="C24" s="43"/>
      <c r="D24" s="55"/>
      <c r="E24" s="43"/>
      <c r="F24" s="43"/>
      <c r="G24" s="43"/>
      <c r="H24" s="43"/>
    </row>
    <row r="25" spans="1:8" ht="15.75">
      <c r="A25" s="44" t="str">
        <f>Encargos!A17</f>
        <v>Grupo B - Encargos que recebem a incidência do grupo A</v>
      </c>
      <c r="B25" s="45"/>
      <c r="C25" s="45"/>
      <c r="D25" s="50"/>
      <c r="E25" s="82" t="s">
        <v>31</v>
      </c>
      <c r="F25" s="88"/>
      <c r="G25" s="88"/>
      <c r="H25" s="88"/>
    </row>
    <row r="26" spans="1:8">
      <c r="A26" s="41" t="str">
        <f>Encargos!A18</f>
        <v>B .01</v>
      </c>
      <c r="B26" s="41" t="str">
        <f>Encargos!B18</f>
        <v xml:space="preserve">13º salário </v>
      </c>
      <c r="C26" s="56">
        <f>Encargos!C18</f>
        <v>8.3330000000000001E-2</v>
      </c>
      <c r="D26" s="48">
        <f>TRUNC(D$11*C26,2)</f>
        <v>155.61000000000001</v>
      </c>
      <c r="E26" s="69" t="s">
        <v>32</v>
      </c>
      <c r="F26" s="69" t="s">
        <v>33</v>
      </c>
      <c r="G26" s="56">
        <v>8.3330000000000001E-2</v>
      </c>
      <c r="H26" s="48">
        <f>TRUNC(H$11*G26,2)</f>
        <v>222.66</v>
      </c>
    </row>
    <row r="27" spans="1:8">
      <c r="A27" s="41" t="str">
        <f>Encargos!A19</f>
        <v>B .02</v>
      </c>
      <c r="B27" s="41" t="str">
        <f>Encargos!B19</f>
        <v xml:space="preserve">Férias (incluindo 1/3 constitucional) </v>
      </c>
      <c r="C27" s="56">
        <f>Encargos!C19</f>
        <v>8.3330000000000001E-2</v>
      </c>
      <c r="D27" s="48">
        <f t="shared" ref="D27:D33" si="2">TRUNC(D$11*C27,2)</f>
        <v>155.61000000000001</v>
      </c>
      <c r="E27" s="69" t="s">
        <v>35</v>
      </c>
      <c r="F27" s="69" t="s">
        <v>36</v>
      </c>
      <c r="G27" s="56">
        <v>8.3330000000000001E-2</v>
      </c>
      <c r="H27" s="48">
        <f t="shared" ref="H27:H33" si="3">TRUNC(H$11*G27,2)</f>
        <v>222.66</v>
      </c>
    </row>
    <row r="28" spans="1:8">
      <c r="A28" s="41" t="str">
        <f>Encargos!A20</f>
        <v>B .03</v>
      </c>
      <c r="B28" s="41" t="str">
        <f>Encargos!B20</f>
        <v>Aviso Prévio Trabalhado</v>
      </c>
      <c r="C28" s="56">
        <v>1.9439999999999999E-2</v>
      </c>
      <c r="D28" s="48">
        <f t="shared" si="2"/>
        <v>36.299999999999997</v>
      </c>
      <c r="E28" s="69" t="s">
        <v>37</v>
      </c>
      <c r="F28" s="69" t="s">
        <v>38</v>
      </c>
      <c r="G28" s="56">
        <v>1.9439999999999999E-2</v>
      </c>
      <c r="H28" s="48">
        <f t="shared" si="3"/>
        <v>51.94</v>
      </c>
    </row>
    <row r="29" spans="1:8">
      <c r="A29" s="41" t="str">
        <f>Encargos!A21</f>
        <v>B .04</v>
      </c>
      <c r="B29" s="41" t="str">
        <f>Encargos!B21</f>
        <v>Auxílio doença</v>
      </c>
      <c r="C29" s="56">
        <v>2.2200000000000002E-3</v>
      </c>
      <c r="D29" s="48">
        <f t="shared" si="2"/>
        <v>4.1399999999999997</v>
      </c>
      <c r="E29" s="69" t="s">
        <v>39</v>
      </c>
      <c r="F29" s="69" t="s">
        <v>40</v>
      </c>
      <c r="G29" s="56">
        <v>2.2200000000000002E-3</v>
      </c>
      <c r="H29" s="48">
        <f t="shared" si="3"/>
        <v>5.93</v>
      </c>
    </row>
    <row r="30" spans="1:8">
      <c r="A30" s="41" t="str">
        <f>Encargos!A22</f>
        <v>B .05</v>
      </c>
      <c r="B30" s="41" t="str">
        <f>Encargos!B22</f>
        <v xml:space="preserve">Acidente de Trabalho </v>
      </c>
      <c r="C30" s="56">
        <v>5.1000000000000004E-4</v>
      </c>
      <c r="D30" s="48">
        <f t="shared" si="2"/>
        <v>0.95</v>
      </c>
      <c r="E30" s="69" t="s">
        <v>41</v>
      </c>
      <c r="F30" s="69" t="s">
        <v>42</v>
      </c>
      <c r="G30" s="56">
        <v>5.1000000000000004E-4</v>
      </c>
      <c r="H30" s="48">
        <f t="shared" si="3"/>
        <v>1.36</v>
      </c>
    </row>
    <row r="31" spans="1:8">
      <c r="A31" s="41" t="str">
        <f>Encargos!A23</f>
        <v>B .06</v>
      </c>
      <c r="B31" s="41" t="str">
        <f>Encargos!B23</f>
        <v xml:space="preserve">Faltas legais </v>
      </c>
      <c r="C31" s="56">
        <v>4.15E-3</v>
      </c>
      <c r="D31" s="48">
        <f t="shared" si="2"/>
        <v>7.74</v>
      </c>
      <c r="E31" s="69" t="s">
        <v>43</v>
      </c>
      <c r="F31" s="69" t="s">
        <v>44</v>
      </c>
      <c r="G31" s="56">
        <v>4.15E-3</v>
      </c>
      <c r="H31" s="48">
        <f t="shared" si="3"/>
        <v>11.08</v>
      </c>
    </row>
    <row r="32" spans="1:8">
      <c r="A32" s="41" t="str">
        <f>Encargos!A24</f>
        <v>B .07</v>
      </c>
      <c r="B32" s="41" t="str">
        <f>Encargos!B24</f>
        <v>Férias sobre licença maternidade</v>
      </c>
      <c r="C32" s="56">
        <v>3.8999999999999999E-4</v>
      </c>
      <c r="D32" s="48">
        <f t="shared" si="2"/>
        <v>0.72</v>
      </c>
      <c r="E32" s="69" t="s">
        <v>45</v>
      </c>
      <c r="F32" s="69" t="s">
        <v>46</v>
      </c>
      <c r="G32" s="56">
        <v>3.8999999999999999E-4</v>
      </c>
      <c r="H32" s="48">
        <f t="shared" si="3"/>
        <v>1.04</v>
      </c>
    </row>
    <row r="33" spans="1:8">
      <c r="A33" s="41" t="str">
        <f>Encargos!A25</f>
        <v>B .08</v>
      </c>
      <c r="B33" s="41" t="str">
        <f>Encargos!B25</f>
        <v>Licença paternidade</v>
      </c>
      <c r="C33" s="56">
        <v>2.0000000000000001E-4</v>
      </c>
      <c r="D33" s="48">
        <f t="shared" si="2"/>
        <v>0.37</v>
      </c>
      <c r="E33" s="69" t="s">
        <v>47</v>
      </c>
      <c r="F33" s="69" t="s">
        <v>48</v>
      </c>
      <c r="G33" s="56">
        <v>2.0000000000000001E-4</v>
      </c>
      <c r="H33" s="48">
        <f t="shared" si="3"/>
        <v>0.53</v>
      </c>
    </row>
    <row r="34" spans="1:8" ht="15.75">
      <c r="A34" s="44" t="str">
        <f>Encargos!A26</f>
        <v>Subtotal do Grupo B</v>
      </c>
      <c r="B34" s="52"/>
      <c r="C34" s="53">
        <f>SUM(C26:C33)</f>
        <v>0.19356999999999999</v>
      </c>
      <c r="D34" s="50">
        <f>SUM(D26:D33)</f>
        <v>361.44000000000005</v>
      </c>
      <c r="E34" s="44" t="s">
        <v>49</v>
      </c>
      <c r="F34" s="52"/>
      <c r="G34" s="53">
        <v>0.19356999999999999</v>
      </c>
      <c r="H34" s="50">
        <f>SUM(H26:H33)</f>
        <v>517.19999999999993</v>
      </c>
    </row>
    <row r="35" spans="1:8">
      <c r="A35" s="43"/>
      <c r="B35" s="43"/>
      <c r="C35" s="43"/>
      <c r="D35" s="55"/>
      <c r="E35" s="43"/>
      <c r="F35" s="43"/>
      <c r="G35" s="43"/>
      <c r="H35" s="43"/>
    </row>
    <row r="36" spans="1:8" ht="15.75">
      <c r="A36" s="44" t="str">
        <f>Encargos!A28</f>
        <v>Grupo C - Encargos que não recebem a incidência do grupo B</v>
      </c>
      <c r="B36" s="45"/>
      <c r="C36" s="45"/>
      <c r="D36" s="50"/>
      <c r="E36" s="44" t="s">
        <v>50</v>
      </c>
      <c r="F36" s="45"/>
      <c r="G36" s="45"/>
      <c r="H36" s="50"/>
    </row>
    <row r="37" spans="1:8">
      <c r="A37" s="41" t="str">
        <f>Encargos!A29</f>
        <v>C .01</v>
      </c>
      <c r="B37" s="41" t="str">
        <f>Encargos!B29</f>
        <v>Aviso Prévio Indenizado</v>
      </c>
      <c r="C37" s="56">
        <f>Encargos!C29</f>
        <v>4.1700000000000001E-3</v>
      </c>
      <c r="D37" s="48">
        <f t="shared" ref="D37:D41" si="4">TRUNC(C37*D$11,2)</f>
        <v>7.78</v>
      </c>
      <c r="E37" s="69" t="s">
        <v>51</v>
      </c>
      <c r="F37" s="69" t="s">
        <v>52</v>
      </c>
      <c r="G37" s="56">
        <v>4.1700000000000001E-3</v>
      </c>
      <c r="H37" s="48">
        <f>TRUNC(H$11*G37,2)</f>
        <v>11.14</v>
      </c>
    </row>
    <row r="38" spans="1:8">
      <c r="A38" s="41" t="str">
        <f>Encargos!A30</f>
        <v>C .02</v>
      </c>
      <c r="B38" s="41" t="str">
        <f>Encargos!B30</f>
        <v>Indenização Adicional</v>
      </c>
      <c r="C38" s="56">
        <v>2.8600000000000001E-3</v>
      </c>
      <c r="D38" s="48">
        <f>TRUNC(C38*D$11,2)</f>
        <v>5.34</v>
      </c>
      <c r="E38" s="69" t="s">
        <v>53</v>
      </c>
      <c r="F38" s="69" t="s">
        <v>54</v>
      </c>
      <c r="G38" s="56">
        <v>2.8600000000000001E-3</v>
      </c>
      <c r="H38" s="48">
        <f t="shared" ref="H38:H41" si="5">TRUNC(H$11*G38,2)</f>
        <v>7.64</v>
      </c>
    </row>
    <row r="39" spans="1:8">
      <c r="A39" s="41" t="str">
        <f>Encargos!A31</f>
        <v>C .03</v>
      </c>
      <c r="B39" s="41" t="str">
        <f>Encargos!B31</f>
        <v>Multa do FGTS - funcionários ativos</v>
      </c>
      <c r="C39" s="56">
        <f>Encargos!C31</f>
        <v>3.2000000000000001E-2</v>
      </c>
      <c r="D39" s="48">
        <f t="shared" si="4"/>
        <v>59.75</v>
      </c>
      <c r="E39" s="69" t="s">
        <v>55</v>
      </c>
      <c r="F39" s="69" t="s">
        <v>56</v>
      </c>
      <c r="G39" s="56">
        <v>3.2000000000000001E-2</v>
      </c>
      <c r="H39" s="48">
        <f t="shared" si="5"/>
        <v>85.5</v>
      </c>
    </row>
    <row r="40" spans="1:8">
      <c r="A40" s="69" t="str">
        <f>Encargos!A32</f>
        <v>C .04</v>
      </c>
      <c r="B40" s="41" t="s">
        <v>127</v>
      </c>
      <c r="C40" s="56">
        <f>Encargos!C32</f>
        <v>2.7779999999999999E-2</v>
      </c>
      <c r="D40" s="48">
        <f t="shared" si="4"/>
        <v>51.87</v>
      </c>
      <c r="E40" s="69" t="s">
        <v>57</v>
      </c>
      <c r="F40" s="69" t="s">
        <v>127</v>
      </c>
      <c r="G40" s="56">
        <v>2.7779999999999999E-2</v>
      </c>
      <c r="H40" s="48">
        <f t="shared" si="5"/>
        <v>74.22</v>
      </c>
    </row>
    <row r="41" spans="1:8">
      <c r="A41" s="69" t="str">
        <f>Encargos!A33</f>
        <v>C .05</v>
      </c>
      <c r="B41" s="41" t="s">
        <v>129</v>
      </c>
      <c r="C41" s="56">
        <v>1.2999999999999999E-4</v>
      </c>
      <c r="D41" s="48">
        <f t="shared" si="4"/>
        <v>0.24</v>
      </c>
      <c r="E41" s="69" t="s">
        <v>126</v>
      </c>
      <c r="F41" s="69" t="s">
        <v>129</v>
      </c>
      <c r="G41" s="56">
        <v>1.2999999999999999E-4</v>
      </c>
      <c r="H41" s="48">
        <f t="shared" si="5"/>
        <v>0.34</v>
      </c>
    </row>
    <row r="42" spans="1:8" ht="15.75">
      <c r="A42" s="44" t="str">
        <f>Encargos!A34</f>
        <v>Subtotal do Grupo C</v>
      </c>
      <c r="B42" s="45"/>
      <c r="C42" s="53">
        <f>SUM(C37:C41)</f>
        <v>6.6940000000000013E-2</v>
      </c>
      <c r="D42" s="50">
        <f>SUM(D37:D41)</f>
        <v>124.98</v>
      </c>
      <c r="E42" s="44" t="s">
        <v>58</v>
      </c>
      <c r="F42" s="45"/>
      <c r="G42" s="53">
        <v>6.6940000000000013E-2</v>
      </c>
      <c r="H42" s="50">
        <f>SUM(H37:H41)</f>
        <v>178.84</v>
      </c>
    </row>
    <row r="43" spans="1:8">
      <c r="A43" s="43"/>
      <c r="B43" s="43"/>
      <c r="C43" s="43"/>
      <c r="D43" s="55"/>
      <c r="E43" s="43"/>
      <c r="F43" s="43"/>
      <c r="G43" s="43"/>
      <c r="H43" s="55"/>
    </row>
    <row r="44" spans="1:8" ht="15.75">
      <c r="A44" s="44" t="str">
        <f>Encargos!A36</f>
        <v>Grupo D - Incidência do Grupo A sobre o Grupo B</v>
      </c>
      <c r="B44" s="45"/>
      <c r="C44" s="45"/>
      <c r="D44" s="50"/>
      <c r="E44" s="44" t="s">
        <v>59</v>
      </c>
      <c r="F44" s="45"/>
      <c r="G44" s="45"/>
      <c r="H44" s="50"/>
    </row>
    <row r="45" spans="1:8">
      <c r="A45" s="41" t="str">
        <f>Encargos!A37</f>
        <v>D.01</v>
      </c>
      <c r="B45" s="41" t="str">
        <f>Encargos!B37</f>
        <v>Incidência dos encargos do grupo"A" sobre os itens do grupo "B"</v>
      </c>
      <c r="C45" s="47">
        <f>C23*C34</f>
        <v>7.7040860000000017E-2</v>
      </c>
      <c r="D45" s="48">
        <f>TRUNC(D11*C45,2)</f>
        <v>143.86000000000001</v>
      </c>
      <c r="E45" s="69" t="s">
        <v>60</v>
      </c>
      <c r="F45" s="69" t="s">
        <v>61</v>
      </c>
      <c r="G45" s="47">
        <v>7.7040860000000017E-2</v>
      </c>
      <c r="H45" s="48">
        <f t="shared" ref="H45" si="6">TRUNC(H$11*G45,2)</f>
        <v>205.85</v>
      </c>
    </row>
    <row r="46" spans="1:8" ht="15.75">
      <c r="A46" s="44" t="str">
        <f>Encargos!A38</f>
        <v>Subtotal do Grupo D</v>
      </c>
      <c r="B46" s="45"/>
      <c r="C46" s="53">
        <f>C45</f>
        <v>7.7040860000000017E-2</v>
      </c>
      <c r="D46" s="50">
        <f>D45</f>
        <v>143.86000000000001</v>
      </c>
      <c r="E46" s="44" t="s">
        <v>62</v>
      </c>
      <c r="F46" s="45"/>
      <c r="G46" s="53">
        <v>7.7040860000000017E-2</v>
      </c>
      <c r="H46" s="50">
        <f>SUM(H45)</f>
        <v>205.85</v>
      </c>
    </row>
    <row r="47" spans="1:8">
      <c r="A47" s="43"/>
      <c r="B47" s="43"/>
      <c r="C47" s="43"/>
      <c r="D47" s="55"/>
      <c r="E47" s="43"/>
      <c r="F47" s="43"/>
      <c r="G47" s="43"/>
      <c r="H47" s="55"/>
    </row>
    <row r="48" spans="1:8" ht="15.75">
      <c r="A48" s="44" t="str">
        <f>Encargos!A40</f>
        <v>Grupo E - Incidência do FGTS sobre o Aviso Prévio Indenizado</v>
      </c>
      <c r="B48" s="45"/>
      <c r="C48" s="45"/>
      <c r="D48" s="50"/>
      <c r="E48" s="44" t="s">
        <v>63</v>
      </c>
      <c r="F48" s="45"/>
      <c r="G48" s="45"/>
      <c r="H48" s="50"/>
    </row>
    <row r="49" spans="1:8">
      <c r="A49" s="41" t="str">
        <f>Encargos!A41</f>
        <v>E.01</v>
      </c>
      <c r="B49" s="41" t="str">
        <f>Encargos!B41</f>
        <v>Incidência do FGTS exclusivamente sobre o aviso prévio indenizado</v>
      </c>
      <c r="C49" s="56">
        <f>Encargos!C41</f>
        <v>3.3E-4</v>
      </c>
      <c r="D49" s="48">
        <f>TRUNC(D$11*C49,2)</f>
        <v>0.61</v>
      </c>
      <c r="E49" s="69" t="s">
        <v>64</v>
      </c>
      <c r="F49" s="69" t="s">
        <v>65</v>
      </c>
      <c r="G49" s="56">
        <v>3.3E-4</v>
      </c>
      <c r="H49" s="48">
        <f t="shared" ref="H49:H51" si="7">TRUNC(H$11*G49,2)</f>
        <v>0.88</v>
      </c>
    </row>
    <row r="50" spans="1:8">
      <c r="A50" s="41" t="str">
        <f>Encargos!A42</f>
        <v>E.02</v>
      </c>
      <c r="B50" s="41" t="str">
        <f>Encargos!B42</f>
        <v>FGTS sobre afastamento superior 15 dias por acidente trabalho</v>
      </c>
      <c r="C50" s="56">
        <v>4.0000000000000003E-5</v>
      </c>
      <c r="D50" s="48">
        <f>TRUNC(D$11*C50,2)</f>
        <v>7.0000000000000007E-2</v>
      </c>
      <c r="E50" s="69" t="s">
        <v>67</v>
      </c>
      <c r="F50" s="69" t="s">
        <v>68</v>
      </c>
      <c r="G50" s="56">
        <v>4.0000000000000003E-5</v>
      </c>
      <c r="H50" s="48">
        <f t="shared" si="7"/>
        <v>0.1</v>
      </c>
    </row>
    <row r="51" spans="1:8">
      <c r="A51" s="41" t="s">
        <v>131</v>
      </c>
      <c r="B51" s="41" t="s">
        <v>132</v>
      </c>
      <c r="C51" s="56">
        <f>Encargos!C43</f>
        <v>2.2200000000000002E-3</v>
      </c>
      <c r="D51" s="48">
        <f>TRUNC(D$11*C51,2)</f>
        <v>4.1399999999999997</v>
      </c>
      <c r="E51" s="69" t="s">
        <v>131</v>
      </c>
      <c r="F51" s="69" t="s">
        <v>132</v>
      </c>
      <c r="G51" s="56">
        <v>2.2200000000000002E-3</v>
      </c>
      <c r="H51" s="48">
        <f t="shared" si="7"/>
        <v>5.93</v>
      </c>
    </row>
    <row r="52" spans="1:8" ht="15.75">
      <c r="A52" s="44" t="str">
        <f>Encargos!A44</f>
        <v>Subtotal do Grupo E</v>
      </c>
      <c r="B52" s="45"/>
      <c r="C52" s="53">
        <f>SUM(C49:C51)</f>
        <v>2.5900000000000003E-3</v>
      </c>
      <c r="D52" s="50">
        <f>SUM(D49:D51)</f>
        <v>4.8199999999999994</v>
      </c>
      <c r="E52" s="44" t="s">
        <v>69</v>
      </c>
      <c r="F52" s="45"/>
      <c r="G52" s="53">
        <v>2.5900000000000003E-3</v>
      </c>
      <c r="H52" s="50">
        <f>SUM(H49:H51)</f>
        <v>6.91</v>
      </c>
    </row>
    <row r="53" spans="1:8">
      <c r="A53" s="43"/>
      <c r="B53" s="43"/>
      <c r="C53" s="43"/>
      <c r="D53" s="55"/>
      <c r="E53" s="43"/>
      <c r="F53" s="43"/>
      <c r="G53" s="43"/>
      <c r="H53" s="55"/>
    </row>
    <row r="54" spans="1:8" ht="15.75">
      <c r="A54" s="44" t="str">
        <f>Encargos!A46</f>
        <v>Grupo F - Incidência do Grupo A sobre o Salário-Maternidade</v>
      </c>
      <c r="B54" s="45"/>
      <c r="C54" s="45"/>
      <c r="D54" s="50"/>
      <c r="E54" s="44" t="s">
        <v>70</v>
      </c>
      <c r="F54" s="45"/>
      <c r="G54" s="45"/>
      <c r="H54" s="50"/>
    </row>
    <row r="55" spans="1:8">
      <c r="A55" s="57" t="str">
        <f>Encargos!A47</f>
        <v>F.01</v>
      </c>
      <c r="B55" s="57" t="str">
        <f>Encargos!B47</f>
        <v xml:space="preserve">Encargos do grupo"A" sobre salário-maternidade </v>
      </c>
      <c r="C55" s="54">
        <v>2.65E-3</v>
      </c>
      <c r="D55" s="58">
        <f>TRUNC(D11*C55,2)</f>
        <v>4.9400000000000004</v>
      </c>
      <c r="E55" s="83" t="s">
        <v>71</v>
      </c>
      <c r="F55" s="83" t="s">
        <v>72</v>
      </c>
      <c r="G55" s="54">
        <v>2.65E-3</v>
      </c>
      <c r="H55" s="48">
        <f t="shared" ref="H55" si="8">TRUNC(H$11*G55,2)</f>
        <v>7.08</v>
      </c>
    </row>
    <row r="56" spans="1:8" ht="15.75">
      <c r="A56" s="44" t="str">
        <f>Encargos!A48</f>
        <v>Subtotal do Grupo F</v>
      </c>
      <c r="B56" s="45"/>
      <c r="C56" s="53">
        <f>C55</f>
        <v>2.65E-3</v>
      </c>
      <c r="D56" s="59">
        <f>D55</f>
        <v>4.9400000000000004</v>
      </c>
      <c r="E56" s="44" t="s">
        <v>73</v>
      </c>
      <c r="F56" s="45"/>
      <c r="G56" s="53">
        <v>2.65E-3</v>
      </c>
      <c r="H56" s="59">
        <f>SUM(H55)</f>
        <v>7.08</v>
      </c>
    </row>
    <row r="57" spans="1:8">
      <c r="A57" s="43"/>
      <c r="B57" s="43"/>
      <c r="C57" s="43"/>
      <c r="D57" s="55"/>
      <c r="E57" s="43"/>
      <c r="F57" s="43"/>
      <c r="G57" s="43"/>
      <c r="H57" s="55"/>
    </row>
    <row r="58" spans="1:8" ht="15.75">
      <c r="A58" s="44" t="str">
        <f>Encargos!A50</f>
        <v>Taxa Total de Encargos Sociais</v>
      </c>
      <c r="B58" s="45"/>
      <c r="C58" s="53">
        <f>SUM(C56,C52,C46,C42,C34,C23)</f>
        <v>0.74079086000000016</v>
      </c>
      <c r="D58" s="59">
        <f>SUM(D56,D52,D46,D42,D34,D23)</f>
        <v>1383.25</v>
      </c>
      <c r="E58" s="44" t="s">
        <v>74</v>
      </c>
      <c r="F58" s="45"/>
      <c r="G58" s="53">
        <v>0.74079086000000016</v>
      </c>
      <c r="H58" s="59">
        <f>SUM(H23+H34+H42+H46+H52+H56)</f>
        <v>1979.33</v>
      </c>
    </row>
    <row r="59" spans="1:8">
      <c r="A59" s="43"/>
      <c r="B59" s="43"/>
      <c r="C59" s="43"/>
      <c r="D59" s="55"/>
      <c r="E59" s="43"/>
      <c r="F59" s="43"/>
      <c r="G59" s="43"/>
      <c r="H59" s="55"/>
    </row>
    <row r="60" spans="1:8" ht="15.75">
      <c r="A60" s="44" t="s">
        <v>92</v>
      </c>
      <c r="B60" s="45"/>
      <c r="C60" s="53"/>
      <c r="D60" s="60">
        <f>D58+D11</f>
        <v>3250.7000000000003</v>
      </c>
      <c r="E60" s="44" t="s">
        <v>92</v>
      </c>
      <c r="F60" s="45"/>
      <c r="G60" s="53"/>
      <c r="H60" s="60">
        <f>SUM(H11+H58)</f>
        <v>4651.3599999999997</v>
      </c>
    </row>
    <row r="61" spans="1:8">
      <c r="A61" s="112"/>
      <c r="B61" s="112"/>
      <c r="C61" s="112"/>
      <c r="D61" s="112"/>
      <c r="E61" s="112"/>
      <c r="F61" s="112"/>
      <c r="G61" s="112"/>
      <c r="H61" s="112"/>
    </row>
    <row r="62" spans="1:8">
      <c r="A62" s="114" t="s">
        <v>138</v>
      </c>
      <c r="B62" s="114"/>
      <c r="C62" s="114"/>
      <c r="D62" s="114"/>
      <c r="E62" s="114" t="s">
        <v>138</v>
      </c>
      <c r="F62" s="114"/>
      <c r="G62" s="114"/>
      <c r="H62" s="114"/>
    </row>
    <row r="63" spans="1:8" ht="30.75" customHeight="1">
      <c r="A63" s="115" t="s">
        <v>232</v>
      </c>
      <c r="B63" s="115"/>
      <c r="C63" s="115"/>
      <c r="D63" s="115"/>
      <c r="E63" s="115" t="s">
        <v>230</v>
      </c>
      <c r="F63" s="115"/>
      <c r="G63" s="115"/>
      <c r="H63" s="115"/>
    </row>
    <row r="64" spans="1:8" ht="15" customHeight="1">
      <c r="A64" s="115" t="s">
        <v>218</v>
      </c>
      <c r="B64" s="115"/>
      <c r="C64" s="115"/>
      <c r="D64" s="115"/>
      <c r="E64" s="115"/>
      <c r="F64" s="115"/>
      <c r="G64" s="115"/>
      <c r="H64" s="115"/>
    </row>
    <row r="65" spans="1:4">
      <c r="A65" s="115"/>
      <c r="B65" s="115"/>
      <c r="C65" s="115"/>
      <c r="D65" s="115"/>
    </row>
  </sheetData>
  <sheetProtection selectLockedCells="1" selectUnlockedCells="1"/>
  <mergeCells count="12">
    <mergeCell ref="E62:H62"/>
    <mergeCell ref="A63:D63"/>
    <mergeCell ref="E63:H64"/>
    <mergeCell ref="A64:D65"/>
    <mergeCell ref="A62:D62"/>
    <mergeCell ref="E2:H2"/>
    <mergeCell ref="F5:H5"/>
    <mergeCell ref="A2:D2"/>
    <mergeCell ref="B5:D5"/>
    <mergeCell ref="A61:D61"/>
    <mergeCell ref="E8:H8"/>
    <mergeCell ref="E61:H61"/>
  </mergeCells>
  <phoneticPr fontId="0" type="noConversion"/>
  <pageMargins left="0.51181102362204722" right="0.51181102362204722" top="0.59055118110236227" bottom="0.39370078740157483" header="0.51181102362204722" footer="0.51181102362204722"/>
  <pageSetup paperSize="9" scale="80" firstPageNumber="0" fitToWidth="0" orientation="portrait" verticalDpi="300" r:id="rId1"/>
  <headerFooter alignWithMargins="0"/>
  <colBreaks count="1" manualBreakCount="1">
    <brk id="4" min="1" max="64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0">
    <pageSetUpPr fitToPage="1"/>
  </sheetPr>
  <dimension ref="A1:M37"/>
  <sheetViews>
    <sheetView view="pageBreakPreview" zoomScaleNormal="91" zoomScaleSheetLayoutView="100" workbookViewId="0">
      <selection activeCell="D33" sqref="D33"/>
    </sheetView>
  </sheetViews>
  <sheetFormatPr defaultColWidth="10.140625" defaultRowHeight="15"/>
  <cols>
    <col min="1" max="1" width="11.5703125" style="1" customWidth="1"/>
    <col min="2" max="2" width="63.85546875" style="1" bestFit="1" customWidth="1"/>
    <col min="3" max="3" width="14.85546875" style="1" customWidth="1"/>
    <col min="4" max="8" width="13.7109375" style="1" customWidth="1"/>
    <col min="9" max="11" width="13" style="1" customWidth="1"/>
    <col min="12" max="12" width="13.140625" style="1" customWidth="1"/>
    <col min="13" max="13" width="24.42578125" style="1" bestFit="1" customWidth="1"/>
    <col min="14" max="14" width="15.140625" style="1" bestFit="1" customWidth="1"/>
    <col min="15" max="16384" width="10.140625" style="1"/>
  </cols>
  <sheetData>
    <row r="1" spans="1:13" ht="21" customHeight="1">
      <c r="A1" s="116" t="s">
        <v>148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</row>
    <row r="2" spans="1:13" ht="15.75" customHeight="1">
      <c r="A2" s="116"/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</row>
    <row r="3" spans="1:13" ht="14.25" customHeight="1">
      <c r="A3" s="116"/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</row>
    <row r="4" spans="1:13" ht="23.25" customHeight="1">
      <c r="A4" s="117" t="s">
        <v>149</v>
      </c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</row>
    <row r="5" spans="1:13" ht="23.25" customHeight="1">
      <c r="A5" s="105" t="s">
        <v>206</v>
      </c>
      <c r="B5" s="105"/>
      <c r="C5" s="105"/>
      <c r="D5" s="105"/>
      <c r="E5" s="105"/>
      <c r="F5" s="105"/>
      <c r="G5" s="105"/>
      <c r="H5" s="105"/>
      <c r="I5" s="105"/>
      <c r="J5" s="105"/>
      <c r="K5" s="105"/>
      <c r="L5" s="105"/>
    </row>
    <row r="6" spans="1:13" ht="12.75" customHeight="1">
      <c r="A6" s="117" t="s">
        <v>146</v>
      </c>
      <c r="B6" s="117" t="s">
        <v>215</v>
      </c>
      <c r="C6" s="117"/>
      <c r="D6" s="117"/>
      <c r="E6" s="117"/>
      <c r="F6" s="117"/>
      <c r="G6" s="117"/>
      <c r="H6" s="117"/>
      <c r="I6" s="117"/>
      <c r="J6" s="117"/>
      <c r="K6" s="117"/>
      <c r="L6" s="117"/>
    </row>
    <row r="7" spans="1:13" ht="11.25" customHeight="1">
      <c r="A7" s="117"/>
      <c r="B7" s="117"/>
      <c r="C7" s="117"/>
      <c r="D7" s="117"/>
      <c r="E7" s="117"/>
      <c r="F7" s="117"/>
      <c r="G7" s="117"/>
      <c r="H7" s="117"/>
      <c r="I7" s="117"/>
      <c r="J7" s="117"/>
      <c r="K7" s="117"/>
      <c r="L7" s="117"/>
    </row>
    <row r="8" spans="1:13" s="4" customFormat="1">
      <c r="A8" s="118" t="s">
        <v>150</v>
      </c>
      <c r="B8" s="118"/>
      <c r="C8" s="118"/>
      <c r="D8" s="118"/>
      <c r="E8" s="118"/>
      <c r="F8" s="118"/>
      <c r="G8" s="118"/>
      <c r="H8" s="118"/>
      <c r="I8" s="118"/>
      <c r="J8" s="118"/>
      <c r="K8" s="118"/>
      <c r="L8" s="118"/>
    </row>
    <row r="9" spans="1:13" ht="38.25">
      <c r="A9" s="40" t="s">
        <v>2</v>
      </c>
      <c r="B9" s="40" t="s">
        <v>3</v>
      </c>
      <c r="C9" s="40" t="s">
        <v>151</v>
      </c>
      <c r="D9" s="40" t="s">
        <v>147</v>
      </c>
      <c r="E9" s="11" t="s">
        <v>176</v>
      </c>
      <c r="F9" s="11" t="s">
        <v>177</v>
      </c>
      <c r="G9" s="11" t="s">
        <v>178</v>
      </c>
      <c r="H9" s="11" t="s">
        <v>203</v>
      </c>
      <c r="I9" s="98" t="s">
        <v>233</v>
      </c>
      <c r="J9" s="98" t="s">
        <v>234</v>
      </c>
      <c r="K9" s="11" t="s">
        <v>153</v>
      </c>
      <c r="L9" s="11" t="s">
        <v>235</v>
      </c>
    </row>
    <row r="10" spans="1:13" ht="25.5" customHeight="1">
      <c r="A10" s="40">
        <v>1</v>
      </c>
      <c r="B10" s="70" t="s">
        <v>231</v>
      </c>
      <c r="C10" s="72" t="s">
        <v>111</v>
      </c>
      <c r="D10" s="13">
        <f>(40*23)</f>
        <v>920</v>
      </c>
      <c r="E10" s="14">
        <v>11.2</v>
      </c>
      <c r="F10" s="15">
        <f>12500/(40*23)</f>
        <v>13.586956521739131</v>
      </c>
      <c r="G10" s="15">
        <f>12000/(40*23)</f>
        <v>13.043478260869565</v>
      </c>
      <c r="H10" s="15"/>
      <c r="I10" s="11"/>
      <c r="J10" s="11"/>
      <c r="K10" s="11">
        <f>AVERAGE(E10:G10)</f>
        <v>12.610144927536231</v>
      </c>
      <c r="L10" s="11">
        <f>K10*D10</f>
        <v>11601.333333333332</v>
      </c>
    </row>
    <row r="11" spans="1:13" ht="25.5" customHeight="1">
      <c r="A11" s="68">
        <v>2</v>
      </c>
      <c r="B11" s="70" t="s">
        <v>204</v>
      </c>
      <c r="C11" s="72" t="s">
        <v>202</v>
      </c>
      <c r="D11" s="13">
        <f>(8*23)</f>
        <v>184</v>
      </c>
      <c r="E11" s="14"/>
      <c r="F11" s="15"/>
      <c r="G11" s="15"/>
      <c r="H11" s="15">
        <v>36.82</v>
      </c>
      <c r="I11" s="11"/>
      <c r="J11" s="11"/>
      <c r="K11" s="11">
        <f>AVERAGE(E11:H11)</f>
        <v>36.82</v>
      </c>
      <c r="L11" s="11">
        <f>K11*D11</f>
        <v>6774.88</v>
      </c>
    </row>
    <row r="12" spans="1:13" ht="21" customHeight="1">
      <c r="A12" s="100">
        <v>3</v>
      </c>
      <c r="B12" s="102" t="s">
        <v>236</v>
      </c>
      <c r="C12" s="99" t="s">
        <v>205</v>
      </c>
      <c r="D12" s="99">
        <v>7</v>
      </c>
      <c r="E12" s="99"/>
      <c r="F12" s="99"/>
      <c r="G12" s="99"/>
      <c r="H12" s="101"/>
      <c r="I12" s="15">
        <f>7.5911*120</f>
        <v>910.93200000000002</v>
      </c>
      <c r="J12" s="15">
        <f>0.4497*100</f>
        <v>44.97</v>
      </c>
      <c r="K12" s="101"/>
      <c r="L12" s="11">
        <f>(I12+J12)*D12</f>
        <v>6691.3140000000003</v>
      </c>
    </row>
    <row r="13" spans="1:13" ht="19.5" customHeight="1">
      <c r="A13" s="121" t="s">
        <v>152</v>
      </c>
      <c r="B13" s="121"/>
      <c r="C13" s="121"/>
      <c r="D13" s="121"/>
      <c r="E13" s="121"/>
      <c r="F13" s="121"/>
      <c r="G13" s="121"/>
      <c r="H13" s="121"/>
      <c r="I13" s="93"/>
      <c r="J13" s="93"/>
      <c r="K13" s="93"/>
      <c r="L13" s="11">
        <f>SUM(L10:L12)</f>
        <v>25067.527333333332</v>
      </c>
      <c r="M13" s="23">
        <f>L13*12</f>
        <v>300810.32799999998</v>
      </c>
    </row>
    <row r="14" spans="1:13" ht="19.5" customHeight="1">
      <c r="A14" s="103"/>
      <c r="B14" s="103"/>
      <c r="C14" s="103"/>
      <c r="D14" s="103"/>
      <c r="E14" s="103"/>
      <c r="F14" s="103"/>
      <c r="G14" s="103"/>
      <c r="H14" s="103"/>
      <c r="I14" s="103"/>
      <c r="J14" s="103"/>
      <c r="K14" s="103"/>
      <c r="L14" s="104"/>
      <c r="M14" s="23"/>
    </row>
    <row r="15" spans="1:13">
      <c r="A15" s="119" t="s">
        <v>200</v>
      </c>
      <c r="B15" s="119"/>
      <c r="C15" s="71">
        <v>4.6500000000000004</v>
      </c>
      <c r="D15" s="71" t="s">
        <v>202</v>
      </c>
    </row>
    <row r="16" spans="1:13" ht="32.25" customHeight="1">
      <c r="A16" s="120" t="s">
        <v>201</v>
      </c>
      <c r="B16" s="120"/>
      <c r="C16" s="71">
        <v>32.17</v>
      </c>
      <c r="D16" s="71" t="s">
        <v>202</v>
      </c>
    </row>
    <row r="18" spans="3:3">
      <c r="C18" s="71">
        <f>SUM(C15:C17)</f>
        <v>36.82</v>
      </c>
    </row>
    <row r="31" spans="3:3" ht="16.5" customHeight="1"/>
    <row r="32" spans="3:3" ht="16.5" customHeight="1"/>
    <row r="33" ht="16.5" customHeight="1"/>
    <row r="34" ht="16.5" customHeight="1"/>
    <row r="35" ht="16.5" customHeight="1"/>
    <row r="36" ht="16.5" customHeight="1"/>
    <row r="37" ht="16.5" customHeight="1"/>
  </sheetData>
  <sheetProtection selectLockedCells="1" selectUnlockedCells="1"/>
  <mergeCells count="9">
    <mergeCell ref="A15:B15"/>
    <mergeCell ref="A16:B16"/>
    <mergeCell ref="A13:H13"/>
    <mergeCell ref="A5:L5"/>
    <mergeCell ref="A1:L3"/>
    <mergeCell ref="A4:L4"/>
    <mergeCell ref="A6:A7"/>
    <mergeCell ref="B6:L7"/>
    <mergeCell ref="A8:L8"/>
  </mergeCells>
  <phoneticPr fontId="0" type="noConversion"/>
  <pageMargins left="0.51181102362204722" right="0.31496062992125984" top="0.78740157480314965" bottom="0.78740157480314965" header="0.51181102362204722" footer="0.51181102362204722"/>
  <pageSetup paperSize="9" scale="67" firstPageNumber="0" fitToHeight="0" orientation="landscape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1">
    <pageSetUpPr fitToPage="1"/>
  </sheetPr>
  <dimension ref="A1:O45"/>
  <sheetViews>
    <sheetView view="pageBreakPreview" zoomScaleNormal="100" zoomScaleSheetLayoutView="100" workbookViewId="0">
      <selection activeCell="I28" sqref="I28"/>
    </sheetView>
  </sheetViews>
  <sheetFormatPr defaultColWidth="10.140625" defaultRowHeight="15"/>
  <cols>
    <col min="1" max="1" width="8.28515625" style="1" customWidth="1"/>
    <col min="2" max="2" width="44.7109375" style="1" customWidth="1"/>
    <col min="3" max="3" width="13.42578125" style="1" customWidth="1"/>
    <col min="4" max="4" width="7" style="1" bestFit="1" customWidth="1"/>
    <col min="5" max="5" width="12.5703125" style="1" bestFit="1" customWidth="1"/>
    <col min="6" max="6" width="15.85546875" style="1" customWidth="1"/>
    <col min="7" max="7" width="12.5703125" style="1" bestFit="1" customWidth="1"/>
    <col min="8" max="8" width="14.140625" style="1" customWidth="1"/>
    <col min="9" max="9" width="12" style="1" bestFit="1" customWidth="1"/>
    <col min="10" max="10" width="14" style="1" customWidth="1"/>
    <col min="11" max="11" width="15.5703125" style="1" customWidth="1"/>
    <col min="12" max="12" width="16.7109375" style="1" customWidth="1"/>
    <col min="13" max="14" width="11.85546875" style="1" bestFit="1" customWidth="1"/>
    <col min="15" max="15" width="10.42578125" style="1" bestFit="1" customWidth="1"/>
    <col min="16" max="16384" width="10.140625" style="1"/>
  </cols>
  <sheetData>
    <row r="1" spans="1:15">
      <c r="A1" s="116" t="s">
        <v>148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</row>
    <row r="2" spans="1:15">
      <c r="A2" s="116"/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</row>
    <row r="3" spans="1:15">
      <c r="A3" s="116"/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</row>
    <row r="4" spans="1:15" ht="20.25" customHeight="1">
      <c r="A4" s="123" t="s">
        <v>149</v>
      </c>
      <c r="B4" s="123"/>
      <c r="C4" s="123"/>
      <c r="D4" s="123"/>
      <c r="E4" s="123"/>
      <c r="F4" s="123"/>
      <c r="G4" s="123"/>
      <c r="H4" s="123"/>
      <c r="I4" s="123"/>
      <c r="J4" s="123"/>
      <c r="K4" s="123"/>
      <c r="L4" s="123"/>
      <c r="M4" s="123"/>
      <c r="N4" s="123"/>
    </row>
    <row r="5" spans="1:15" ht="16.5">
      <c r="A5" s="105" t="s">
        <v>120</v>
      </c>
      <c r="B5" s="105"/>
      <c r="C5" s="105"/>
      <c r="D5" s="105"/>
      <c r="E5" s="105"/>
      <c r="F5" s="105"/>
      <c r="G5" s="105"/>
      <c r="H5" s="105"/>
      <c r="I5" s="105"/>
      <c r="J5" s="105"/>
      <c r="K5" s="105"/>
      <c r="L5" s="105"/>
      <c r="M5" s="105"/>
      <c r="N5" s="105"/>
    </row>
    <row r="6" spans="1:15" ht="12.75" customHeight="1">
      <c r="A6" s="123" t="s">
        <v>146</v>
      </c>
      <c r="B6" s="117" t="s">
        <v>215</v>
      </c>
      <c r="C6" s="117"/>
      <c r="D6" s="117"/>
      <c r="E6" s="117"/>
      <c r="F6" s="117"/>
      <c r="G6" s="117"/>
      <c r="H6" s="117"/>
      <c r="I6" s="117"/>
      <c r="J6" s="117"/>
      <c r="K6" s="117"/>
      <c r="L6" s="117"/>
      <c r="M6" s="117"/>
      <c r="N6" s="117"/>
    </row>
    <row r="7" spans="1:15" ht="8.25" customHeight="1">
      <c r="A7" s="123"/>
      <c r="B7" s="117"/>
      <c r="C7" s="117"/>
      <c r="D7" s="117"/>
      <c r="E7" s="117"/>
      <c r="F7" s="117"/>
      <c r="G7" s="117"/>
      <c r="H7" s="117"/>
      <c r="I7" s="117"/>
      <c r="J7" s="117"/>
      <c r="K7" s="117"/>
      <c r="L7" s="117"/>
      <c r="M7" s="117"/>
      <c r="N7" s="117"/>
    </row>
    <row r="8" spans="1:15">
      <c r="A8" s="118" t="s">
        <v>150</v>
      </c>
      <c r="B8" s="118"/>
      <c r="C8" s="118"/>
      <c r="D8" s="118"/>
      <c r="E8" s="118"/>
      <c r="F8" s="118"/>
      <c r="G8" s="118"/>
      <c r="H8" s="118"/>
      <c r="I8" s="118"/>
      <c r="J8" s="118"/>
      <c r="K8" s="118"/>
      <c r="L8" s="118"/>
      <c r="M8" s="118"/>
      <c r="N8" s="118"/>
    </row>
    <row r="9" spans="1:15" ht="51">
      <c r="A9" s="24" t="s">
        <v>2</v>
      </c>
      <c r="B9" s="24" t="s">
        <v>3</v>
      </c>
      <c r="C9" s="24" t="s">
        <v>151</v>
      </c>
      <c r="D9" s="24" t="s">
        <v>123</v>
      </c>
      <c r="E9" s="11" t="s">
        <v>154</v>
      </c>
      <c r="F9" s="11" t="s">
        <v>155</v>
      </c>
      <c r="G9" s="11" t="s">
        <v>156</v>
      </c>
      <c r="H9" s="11" t="s">
        <v>157</v>
      </c>
      <c r="I9" s="11" t="s">
        <v>158</v>
      </c>
      <c r="J9" s="11" t="s">
        <v>159</v>
      </c>
      <c r="K9" s="11" t="s">
        <v>160</v>
      </c>
      <c r="L9" s="11" t="s">
        <v>161</v>
      </c>
      <c r="M9" s="11" t="s">
        <v>162</v>
      </c>
      <c r="N9" s="11" t="s">
        <v>163</v>
      </c>
    </row>
    <row r="10" spans="1:15" ht="16.5" customHeight="1">
      <c r="A10" s="24">
        <v>1</v>
      </c>
      <c r="B10" s="18" t="s">
        <v>164</v>
      </c>
      <c r="C10" s="16" t="s">
        <v>110</v>
      </c>
      <c r="D10" s="17">
        <v>4</v>
      </c>
      <c r="E10" s="19">
        <v>31.05</v>
      </c>
      <c r="F10" s="19"/>
      <c r="G10" s="19"/>
      <c r="H10" s="19">
        <v>40</v>
      </c>
      <c r="I10" s="19"/>
      <c r="J10" s="19">
        <v>39.200000000000003</v>
      </c>
      <c r="K10" s="19"/>
      <c r="L10" s="15"/>
      <c r="M10" s="19">
        <f>AVERAGE(E10:L10)</f>
        <v>36.75</v>
      </c>
      <c r="N10" s="12">
        <f>M10*D10</f>
        <v>147</v>
      </c>
    </row>
    <row r="11" spans="1:15" ht="16.5" customHeight="1">
      <c r="A11" s="24">
        <v>2</v>
      </c>
      <c r="B11" s="18" t="s">
        <v>95</v>
      </c>
      <c r="C11" s="16" t="s">
        <v>110</v>
      </c>
      <c r="D11" s="17">
        <v>3</v>
      </c>
      <c r="E11" s="20"/>
      <c r="F11" s="20"/>
      <c r="G11" s="20"/>
      <c r="H11" s="20">
        <v>95</v>
      </c>
      <c r="I11" s="20"/>
      <c r="J11" s="20">
        <v>82</v>
      </c>
      <c r="K11" s="20">
        <v>63.77</v>
      </c>
      <c r="L11" s="21"/>
      <c r="M11" s="19">
        <f t="shared" ref="M11:M13" si="0">AVERAGE(E11:L11)</f>
        <v>80.256666666666675</v>
      </c>
      <c r="N11" s="12">
        <f>M11*D11</f>
        <v>240.77000000000004</v>
      </c>
    </row>
    <row r="12" spans="1:15" ht="25.5" customHeight="1">
      <c r="A12" s="24">
        <v>3</v>
      </c>
      <c r="B12" s="22" t="s">
        <v>96</v>
      </c>
      <c r="C12" s="16" t="s">
        <v>124</v>
      </c>
      <c r="D12" s="17">
        <v>2</v>
      </c>
      <c r="E12" s="19"/>
      <c r="F12" s="19"/>
      <c r="G12" s="19">
        <v>58.59</v>
      </c>
      <c r="H12" s="19"/>
      <c r="I12" s="19">
        <v>52</v>
      </c>
      <c r="J12" s="19"/>
      <c r="K12" s="19"/>
      <c r="L12" s="15">
        <v>76.2</v>
      </c>
      <c r="M12" s="19">
        <f t="shared" si="0"/>
        <v>62.263333333333343</v>
      </c>
      <c r="N12" s="12">
        <f>M12*D12</f>
        <v>124.52666666666669</v>
      </c>
    </row>
    <row r="13" spans="1:15" ht="16.5" customHeight="1">
      <c r="A13" s="24">
        <v>4</v>
      </c>
      <c r="B13" s="18" t="s">
        <v>165</v>
      </c>
      <c r="C13" s="16" t="s">
        <v>124</v>
      </c>
      <c r="D13" s="17">
        <v>1</v>
      </c>
      <c r="E13" s="19"/>
      <c r="F13" s="19">
        <v>58.8</v>
      </c>
      <c r="G13" s="19">
        <v>38.700000000000003</v>
      </c>
      <c r="H13" s="19"/>
      <c r="I13" s="19">
        <v>35</v>
      </c>
      <c r="J13" s="19"/>
      <c r="K13" s="19"/>
      <c r="L13" s="15"/>
      <c r="M13" s="19">
        <f t="shared" si="0"/>
        <v>44.166666666666664</v>
      </c>
      <c r="N13" s="12">
        <f>M13*D13</f>
        <v>44.166666666666664</v>
      </c>
    </row>
    <row r="14" spans="1:15" ht="16.5" customHeight="1">
      <c r="A14" s="122" t="s">
        <v>152</v>
      </c>
      <c r="B14" s="122"/>
      <c r="C14" s="122"/>
      <c r="D14" s="122"/>
      <c r="E14" s="122"/>
      <c r="F14" s="122"/>
      <c r="G14" s="122"/>
      <c r="H14" s="122"/>
      <c r="I14" s="122"/>
      <c r="J14" s="122"/>
      <c r="K14" s="122"/>
      <c r="L14" s="122"/>
      <c r="M14" s="122"/>
      <c r="N14" s="12">
        <f>SUM(N10:N13)</f>
        <v>556.46333333333337</v>
      </c>
      <c r="O14" s="23"/>
    </row>
    <row r="45" spans="14:14">
      <c r="N45" s="2"/>
    </row>
  </sheetData>
  <sheetProtection selectLockedCells="1" selectUnlockedCells="1"/>
  <mergeCells count="7">
    <mergeCell ref="A8:N8"/>
    <mergeCell ref="A14:M14"/>
    <mergeCell ref="A5:N5"/>
    <mergeCell ref="A1:N3"/>
    <mergeCell ref="A4:N4"/>
    <mergeCell ref="A6:A7"/>
    <mergeCell ref="B6:N7"/>
  </mergeCells>
  <phoneticPr fontId="0" type="noConversion"/>
  <pageMargins left="0.31496062992125984" right="0.11811023622047245" top="0.78740157480314965" bottom="0.78740157480314965" header="0.51181102362204722" footer="0.51181102362204722"/>
  <pageSetup paperSize="9" scale="69" firstPageNumber="0" fitToHeight="0" orientation="landscape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3">
    <pageSetUpPr fitToPage="1"/>
  </sheetPr>
  <dimension ref="A1:T28"/>
  <sheetViews>
    <sheetView tabSelected="1" view="pageBreakPreview" zoomScale="90" zoomScaleNormal="100" zoomScaleSheetLayoutView="90" workbookViewId="0">
      <selection activeCell="F26" sqref="F26"/>
    </sheetView>
  </sheetViews>
  <sheetFormatPr defaultColWidth="10.140625" defaultRowHeight="15"/>
  <cols>
    <col min="1" max="1" width="8.42578125" style="1" customWidth="1"/>
    <col min="2" max="2" width="32.7109375" style="3" bestFit="1" customWidth="1"/>
    <col min="3" max="4" width="8.7109375" style="1" customWidth="1"/>
    <col min="5" max="5" width="14.28515625" style="1" bestFit="1" customWidth="1"/>
    <col min="6" max="6" width="16.85546875" style="1" customWidth="1"/>
    <col min="7" max="8" width="13.140625" style="1" bestFit="1" customWidth="1"/>
    <col min="9" max="9" width="12.5703125" style="1" customWidth="1"/>
    <col min="10" max="11" width="14.28515625" style="1" customWidth="1"/>
    <col min="12" max="17" width="17.42578125" style="1" customWidth="1"/>
    <col min="18" max="18" width="14" style="1" customWidth="1"/>
    <col min="19" max="19" width="17.5703125" style="1" customWidth="1"/>
    <col min="20" max="20" width="15.28515625" style="1" customWidth="1"/>
    <col min="21" max="16384" width="10.140625" style="1"/>
  </cols>
  <sheetData>
    <row r="1" spans="1:20" ht="15" customHeight="1">
      <c r="A1" s="116" t="s">
        <v>148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</row>
    <row r="2" spans="1:20" s="4" customFormat="1">
      <c r="A2" s="116"/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</row>
    <row r="3" spans="1:20" ht="16.5" customHeight="1">
      <c r="A3" s="116"/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3"/>
    </row>
    <row r="4" spans="1:20" ht="28.5" customHeight="1">
      <c r="A4" s="123" t="s">
        <v>149</v>
      </c>
      <c r="B4" s="123"/>
      <c r="C4" s="123"/>
      <c r="D4" s="123"/>
      <c r="E4" s="123"/>
      <c r="F4" s="123"/>
      <c r="G4" s="123"/>
      <c r="H4" s="123"/>
      <c r="I4" s="123"/>
      <c r="J4" s="123"/>
      <c r="K4" s="123"/>
      <c r="L4" s="123"/>
      <c r="M4" s="123"/>
      <c r="N4" s="123"/>
      <c r="O4" s="123"/>
      <c r="P4" s="123"/>
      <c r="Q4" s="123"/>
      <c r="R4" s="123"/>
      <c r="S4" s="123"/>
      <c r="T4" s="3"/>
    </row>
    <row r="5" spans="1:20" ht="19.5" customHeight="1">
      <c r="A5" s="105" t="s">
        <v>121</v>
      </c>
      <c r="B5" s="105"/>
      <c r="C5" s="105"/>
      <c r="D5" s="105"/>
      <c r="E5" s="105"/>
      <c r="F5" s="105"/>
      <c r="G5" s="105"/>
      <c r="H5" s="105"/>
      <c r="I5" s="105"/>
      <c r="J5" s="105"/>
      <c r="K5" s="105"/>
      <c r="L5" s="105"/>
      <c r="M5" s="105"/>
      <c r="N5" s="105"/>
      <c r="O5" s="105"/>
      <c r="P5" s="105"/>
      <c r="Q5" s="105"/>
      <c r="R5" s="105"/>
      <c r="S5" s="105"/>
      <c r="T5" s="3"/>
    </row>
    <row r="6" spans="1:20" ht="16.5" customHeight="1">
      <c r="A6" s="123" t="s">
        <v>146</v>
      </c>
      <c r="B6" s="117" t="s">
        <v>215</v>
      </c>
      <c r="C6" s="117"/>
      <c r="D6" s="117"/>
      <c r="E6" s="117"/>
      <c r="F6" s="117"/>
      <c r="G6" s="117"/>
      <c r="H6" s="117"/>
      <c r="I6" s="117"/>
      <c r="J6" s="117"/>
      <c r="K6" s="117"/>
      <c r="L6" s="117"/>
      <c r="M6" s="117"/>
      <c r="N6" s="117"/>
      <c r="O6" s="117"/>
      <c r="P6" s="117"/>
      <c r="Q6" s="117"/>
      <c r="R6" s="117"/>
      <c r="S6" s="117"/>
      <c r="T6" s="3"/>
    </row>
    <row r="7" spans="1:20" ht="16.5" customHeight="1">
      <c r="A7" s="123"/>
      <c r="B7" s="117"/>
      <c r="C7" s="117"/>
      <c r="D7" s="117"/>
      <c r="E7" s="117"/>
      <c r="F7" s="117"/>
      <c r="G7" s="117"/>
      <c r="H7" s="117"/>
      <c r="I7" s="117"/>
      <c r="J7" s="117"/>
      <c r="K7" s="117"/>
      <c r="L7" s="117"/>
      <c r="M7" s="117"/>
      <c r="N7" s="117"/>
      <c r="O7" s="117"/>
      <c r="P7" s="117"/>
      <c r="Q7" s="117"/>
      <c r="R7" s="117"/>
      <c r="S7" s="117"/>
      <c r="T7" s="3"/>
    </row>
    <row r="8" spans="1:20" ht="30" customHeight="1">
      <c r="A8" s="118" t="s">
        <v>150</v>
      </c>
      <c r="B8" s="118"/>
      <c r="C8" s="118"/>
      <c r="D8" s="118"/>
      <c r="E8" s="118"/>
      <c r="F8" s="118"/>
      <c r="G8" s="118"/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3"/>
    </row>
    <row r="9" spans="1:20" ht="38.25">
      <c r="A9" s="24" t="s">
        <v>2</v>
      </c>
      <c r="B9" s="24" t="s">
        <v>3</v>
      </c>
      <c r="C9" s="24" t="s">
        <v>151</v>
      </c>
      <c r="D9" s="24" t="s">
        <v>123</v>
      </c>
      <c r="E9" s="11" t="s">
        <v>180</v>
      </c>
      <c r="F9" s="11" t="s">
        <v>181</v>
      </c>
      <c r="G9" s="11" t="s">
        <v>182</v>
      </c>
      <c r="H9" s="11" t="s">
        <v>183</v>
      </c>
      <c r="I9" s="11" t="s">
        <v>184</v>
      </c>
      <c r="J9" s="11" t="s">
        <v>185</v>
      </c>
      <c r="K9" s="11" t="s">
        <v>187</v>
      </c>
      <c r="L9" s="11" t="s">
        <v>186</v>
      </c>
      <c r="M9" s="11" t="s">
        <v>209</v>
      </c>
      <c r="N9" s="11" t="s">
        <v>210</v>
      </c>
      <c r="O9" s="11" t="s">
        <v>212</v>
      </c>
      <c r="P9" s="11" t="s">
        <v>213</v>
      </c>
      <c r="Q9" s="11" t="s">
        <v>214</v>
      </c>
      <c r="R9" s="11" t="s">
        <v>166</v>
      </c>
      <c r="S9" s="11" t="s">
        <v>167</v>
      </c>
      <c r="T9" s="3"/>
    </row>
    <row r="10" spans="1:20" ht="24.75" customHeight="1">
      <c r="A10" s="24">
        <v>1</v>
      </c>
      <c r="B10" s="25" t="s">
        <v>179</v>
      </c>
      <c r="C10" s="16" t="s">
        <v>110</v>
      </c>
      <c r="D10" s="79">
        <v>14</v>
      </c>
      <c r="E10" s="15"/>
      <c r="F10" s="15" t="s">
        <v>136</v>
      </c>
      <c r="G10" s="15" t="s">
        <v>136</v>
      </c>
      <c r="H10" s="15" t="s">
        <v>136</v>
      </c>
      <c r="I10" s="15" t="s">
        <v>136</v>
      </c>
      <c r="J10" s="15">
        <v>1430</v>
      </c>
      <c r="K10" s="15">
        <v>1440</v>
      </c>
      <c r="L10" s="15">
        <v>1496</v>
      </c>
      <c r="M10" s="15"/>
      <c r="N10" s="15"/>
      <c r="O10" s="15"/>
      <c r="P10" s="15"/>
      <c r="Q10" s="15"/>
      <c r="R10" s="15">
        <f>AVERAGE(E10:L10)</f>
        <v>1455.3333333333333</v>
      </c>
      <c r="S10" s="11">
        <f>R10*D10</f>
        <v>20374.666666666664</v>
      </c>
      <c r="T10" s="3"/>
    </row>
    <row r="11" spans="1:20" ht="23.25" customHeight="1">
      <c r="A11" s="24">
        <v>2</v>
      </c>
      <c r="B11" s="25" t="s">
        <v>168</v>
      </c>
      <c r="C11" s="16" t="s">
        <v>110</v>
      </c>
      <c r="D11" s="17">
        <v>648</v>
      </c>
      <c r="E11" s="15">
        <v>21</v>
      </c>
      <c r="F11" s="15">
        <v>43.05</v>
      </c>
      <c r="G11" s="15">
        <v>28.93</v>
      </c>
      <c r="H11" s="15" t="s">
        <v>136</v>
      </c>
      <c r="I11" s="15">
        <v>31.26</v>
      </c>
      <c r="J11" s="15" t="s">
        <v>136</v>
      </c>
      <c r="K11" s="15"/>
      <c r="L11" s="15" t="s">
        <v>136</v>
      </c>
      <c r="M11" s="15"/>
      <c r="N11" s="15"/>
      <c r="O11" s="15"/>
      <c r="P11" s="15"/>
      <c r="Q11" s="15"/>
      <c r="R11" s="15">
        <f t="shared" ref="R11:R24" si="0">AVERAGE(E11:L11)</f>
        <v>31.06</v>
      </c>
      <c r="S11" s="11">
        <f t="shared" ref="S11:S27" si="1">R11*D11</f>
        <v>20126.879999999997</v>
      </c>
      <c r="T11" s="3"/>
    </row>
    <row r="12" spans="1:20" ht="24" customHeight="1">
      <c r="A12" s="24">
        <v>3</v>
      </c>
      <c r="B12" s="25" t="s">
        <v>169</v>
      </c>
      <c r="C12" s="16" t="s">
        <v>110</v>
      </c>
      <c r="D12" s="17">
        <v>78</v>
      </c>
      <c r="E12" s="15">
        <v>80</v>
      </c>
      <c r="F12" s="15" t="s">
        <v>136</v>
      </c>
      <c r="G12" s="15">
        <v>79.77</v>
      </c>
      <c r="H12" s="15">
        <v>59.9</v>
      </c>
      <c r="I12" s="15">
        <v>74.930000000000007</v>
      </c>
      <c r="J12" s="15" t="s">
        <v>136</v>
      </c>
      <c r="K12" s="15"/>
      <c r="L12" s="15" t="s">
        <v>136</v>
      </c>
      <c r="M12" s="15"/>
      <c r="N12" s="15"/>
      <c r="O12" s="15"/>
      <c r="P12" s="15"/>
      <c r="Q12" s="15"/>
      <c r="R12" s="15">
        <f t="shared" si="0"/>
        <v>73.650000000000006</v>
      </c>
      <c r="S12" s="11">
        <f t="shared" si="1"/>
        <v>5744.7000000000007</v>
      </c>
      <c r="T12" s="3"/>
    </row>
    <row r="13" spans="1:20" ht="23.25" customHeight="1">
      <c r="A13" s="24">
        <v>4</v>
      </c>
      <c r="B13" s="25" t="s">
        <v>170</v>
      </c>
      <c r="C13" s="16" t="s">
        <v>110</v>
      </c>
      <c r="D13" s="17">
        <v>26</v>
      </c>
      <c r="E13" s="15">
        <v>62</v>
      </c>
      <c r="F13" s="15">
        <v>37.75</v>
      </c>
      <c r="G13" s="15">
        <v>61.64</v>
      </c>
      <c r="H13" s="15">
        <v>52.9</v>
      </c>
      <c r="I13" s="15">
        <v>49.11</v>
      </c>
      <c r="J13" s="15" t="s">
        <v>136</v>
      </c>
      <c r="K13" s="15"/>
      <c r="L13" s="15" t="s">
        <v>136</v>
      </c>
      <c r="M13" s="15"/>
      <c r="N13" s="15"/>
      <c r="O13" s="15"/>
      <c r="P13" s="15"/>
      <c r="Q13" s="15"/>
      <c r="R13" s="15">
        <f t="shared" si="0"/>
        <v>52.679999999999993</v>
      </c>
      <c r="S13" s="11">
        <f t="shared" si="1"/>
        <v>1369.6799999999998</v>
      </c>
      <c r="T13" s="3"/>
    </row>
    <row r="14" spans="1:20" ht="24" customHeight="1">
      <c r="A14" s="24">
        <v>5</v>
      </c>
      <c r="B14" s="25" t="s">
        <v>171</v>
      </c>
      <c r="C14" s="16" t="s">
        <v>110</v>
      </c>
      <c r="D14" s="17">
        <v>26</v>
      </c>
      <c r="E14" s="15">
        <v>61</v>
      </c>
      <c r="F14" s="15">
        <v>41.8</v>
      </c>
      <c r="G14" s="15">
        <v>58.49</v>
      </c>
      <c r="H14" s="15">
        <v>54.9</v>
      </c>
      <c r="I14" s="15">
        <v>56.41</v>
      </c>
      <c r="J14" s="15" t="s">
        <v>136</v>
      </c>
      <c r="K14" s="15"/>
      <c r="L14" s="15" t="s">
        <v>136</v>
      </c>
      <c r="M14" s="15"/>
      <c r="N14" s="15"/>
      <c r="O14" s="15"/>
      <c r="P14" s="15"/>
      <c r="Q14" s="15"/>
      <c r="R14" s="15">
        <f t="shared" si="0"/>
        <v>54.52</v>
      </c>
      <c r="S14" s="11">
        <f t="shared" si="1"/>
        <v>1417.52</v>
      </c>
      <c r="T14" s="3"/>
    </row>
    <row r="15" spans="1:20" ht="24" customHeight="1">
      <c r="A15" s="24">
        <v>6</v>
      </c>
      <c r="B15" s="25" t="s">
        <v>97</v>
      </c>
      <c r="C15" s="16" t="s">
        <v>110</v>
      </c>
      <c r="D15" s="17">
        <v>15</v>
      </c>
      <c r="E15" s="15">
        <v>108</v>
      </c>
      <c r="F15" s="15">
        <v>99.8</v>
      </c>
      <c r="G15" s="15">
        <v>121.92</v>
      </c>
      <c r="H15" s="15">
        <v>119.9</v>
      </c>
      <c r="I15" s="15">
        <v>150.84</v>
      </c>
      <c r="J15" s="15" t="s">
        <v>136</v>
      </c>
      <c r="K15" s="15"/>
      <c r="L15" s="15" t="s">
        <v>136</v>
      </c>
      <c r="M15" s="15"/>
      <c r="N15" s="15"/>
      <c r="O15" s="15"/>
      <c r="P15" s="15"/>
      <c r="Q15" s="15"/>
      <c r="R15" s="15">
        <f t="shared" si="0"/>
        <v>120.09200000000001</v>
      </c>
      <c r="S15" s="11">
        <f t="shared" si="1"/>
        <v>1801.38</v>
      </c>
      <c r="T15" s="3"/>
    </row>
    <row r="16" spans="1:20" ht="21.75" customHeight="1">
      <c r="A16" s="24">
        <v>7</v>
      </c>
      <c r="B16" s="25" t="s">
        <v>115</v>
      </c>
      <c r="C16" s="16" t="s">
        <v>110</v>
      </c>
      <c r="D16" s="17">
        <v>10</v>
      </c>
      <c r="E16" s="15">
        <v>95</v>
      </c>
      <c r="F16" s="15">
        <v>99.8</v>
      </c>
      <c r="G16" s="15">
        <v>130.28</v>
      </c>
      <c r="H16" s="15">
        <v>79.900000000000006</v>
      </c>
      <c r="I16" s="15" t="s">
        <v>136</v>
      </c>
      <c r="J16" s="15" t="s">
        <v>136</v>
      </c>
      <c r="K16" s="15"/>
      <c r="L16" s="15" t="s">
        <v>136</v>
      </c>
      <c r="M16" s="15"/>
      <c r="N16" s="15"/>
      <c r="O16" s="15"/>
      <c r="P16" s="15"/>
      <c r="Q16" s="15"/>
      <c r="R16" s="15">
        <f t="shared" si="0"/>
        <v>101.245</v>
      </c>
      <c r="S16" s="11">
        <f t="shared" si="1"/>
        <v>1012.45</v>
      </c>
      <c r="T16" s="3"/>
    </row>
    <row r="17" spans="1:20" ht="24.75" customHeight="1">
      <c r="A17" s="24">
        <v>8</v>
      </c>
      <c r="B17" s="25" t="s">
        <v>98</v>
      </c>
      <c r="C17" s="16" t="s">
        <v>110</v>
      </c>
      <c r="D17" s="17">
        <v>26</v>
      </c>
      <c r="E17" s="15">
        <v>70</v>
      </c>
      <c r="F17" s="15">
        <v>51.2</v>
      </c>
      <c r="G17" s="15">
        <v>62.52</v>
      </c>
      <c r="H17" s="15">
        <v>59.9</v>
      </c>
      <c r="I17" s="15">
        <v>59.47</v>
      </c>
      <c r="J17" s="15" t="s">
        <v>136</v>
      </c>
      <c r="K17" s="15"/>
      <c r="L17" s="15" t="s">
        <v>136</v>
      </c>
      <c r="M17" s="15"/>
      <c r="N17" s="15"/>
      <c r="O17" s="15"/>
      <c r="P17" s="15"/>
      <c r="Q17" s="15"/>
      <c r="R17" s="15">
        <f t="shared" si="0"/>
        <v>60.618000000000009</v>
      </c>
      <c r="S17" s="11">
        <f t="shared" si="1"/>
        <v>1576.0680000000002</v>
      </c>
      <c r="T17" s="3"/>
    </row>
    <row r="18" spans="1:20" ht="24" customHeight="1">
      <c r="A18" s="24">
        <v>9</v>
      </c>
      <c r="B18" s="25" t="s">
        <v>108</v>
      </c>
      <c r="C18" s="16" t="s">
        <v>110</v>
      </c>
      <c r="D18" s="17">
        <v>10</v>
      </c>
      <c r="E18" s="15">
        <v>190</v>
      </c>
      <c r="F18" s="15">
        <v>185.7</v>
      </c>
      <c r="G18" s="15">
        <v>205.12</v>
      </c>
      <c r="H18" s="15">
        <v>189.9</v>
      </c>
      <c r="I18" s="15">
        <v>446</v>
      </c>
      <c r="J18" s="15" t="s">
        <v>136</v>
      </c>
      <c r="K18" s="15"/>
      <c r="L18" s="15" t="s">
        <v>136</v>
      </c>
      <c r="M18" s="15"/>
      <c r="N18" s="15"/>
      <c r="O18" s="15"/>
      <c r="P18" s="15"/>
      <c r="Q18" s="15"/>
      <c r="R18" s="15">
        <f t="shared" si="0"/>
        <v>243.34399999999997</v>
      </c>
      <c r="S18" s="11">
        <f t="shared" si="1"/>
        <v>2433.4399999999996</v>
      </c>
      <c r="T18" s="3"/>
    </row>
    <row r="19" spans="1:20" ht="19.5" customHeight="1">
      <c r="A19" s="24">
        <v>10</v>
      </c>
      <c r="B19" s="25" t="s">
        <v>112</v>
      </c>
      <c r="C19" s="16" t="s">
        <v>110</v>
      </c>
      <c r="D19" s="17">
        <v>18</v>
      </c>
      <c r="E19" s="15">
        <v>37</v>
      </c>
      <c r="F19" s="15">
        <v>36.5</v>
      </c>
      <c r="G19" s="15">
        <v>48.57</v>
      </c>
      <c r="H19" s="15">
        <v>44.9</v>
      </c>
      <c r="I19" s="15">
        <v>44.98</v>
      </c>
      <c r="J19" s="15" t="s">
        <v>136</v>
      </c>
      <c r="K19" s="15"/>
      <c r="L19" s="15" t="s">
        <v>136</v>
      </c>
      <c r="M19" s="15"/>
      <c r="N19" s="15"/>
      <c r="O19" s="15"/>
      <c r="P19" s="15"/>
      <c r="Q19" s="15"/>
      <c r="R19" s="15">
        <f t="shared" si="0"/>
        <v>42.39</v>
      </c>
      <c r="S19" s="11">
        <f t="shared" si="1"/>
        <v>763.02</v>
      </c>
    </row>
    <row r="20" spans="1:20" ht="22.5" customHeight="1">
      <c r="A20" s="24">
        <v>11</v>
      </c>
      <c r="B20" s="25" t="s">
        <v>113</v>
      </c>
      <c r="C20" s="16" t="s">
        <v>110</v>
      </c>
      <c r="D20" s="17">
        <v>20</v>
      </c>
      <c r="E20" s="15">
        <v>22</v>
      </c>
      <c r="F20" s="15" t="s">
        <v>136</v>
      </c>
      <c r="G20" s="15">
        <v>28.36</v>
      </c>
      <c r="H20" s="15" t="s">
        <v>136</v>
      </c>
      <c r="I20" s="15">
        <v>25</v>
      </c>
      <c r="J20" s="15" t="s">
        <v>136</v>
      </c>
      <c r="K20" s="15"/>
      <c r="L20" s="15" t="s">
        <v>136</v>
      </c>
      <c r="M20" s="15"/>
      <c r="N20" s="15"/>
      <c r="O20" s="15"/>
      <c r="P20" s="15"/>
      <c r="Q20" s="15"/>
      <c r="R20" s="15">
        <f t="shared" si="0"/>
        <v>25.12</v>
      </c>
      <c r="S20" s="11">
        <f t="shared" si="1"/>
        <v>502.40000000000003</v>
      </c>
    </row>
    <row r="21" spans="1:20" ht="22.5" customHeight="1">
      <c r="A21" s="24">
        <v>12</v>
      </c>
      <c r="B21" s="25" t="s">
        <v>114</v>
      </c>
      <c r="C21" s="16" t="s">
        <v>110</v>
      </c>
      <c r="D21" s="17">
        <v>36</v>
      </c>
      <c r="E21" s="15">
        <v>5</v>
      </c>
      <c r="F21" s="15">
        <v>7.5</v>
      </c>
      <c r="G21" s="15">
        <v>9.1199999999999992</v>
      </c>
      <c r="H21" s="15">
        <v>9.5</v>
      </c>
      <c r="I21" s="15">
        <v>7.38</v>
      </c>
      <c r="J21" s="15" t="s">
        <v>136</v>
      </c>
      <c r="K21" s="15"/>
      <c r="L21" s="15" t="s">
        <v>136</v>
      </c>
      <c r="M21" s="15"/>
      <c r="N21" s="15"/>
      <c r="O21" s="15"/>
      <c r="P21" s="15"/>
      <c r="Q21" s="15"/>
      <c r="R21" s="15">
        <f t="shared" si="0"/>
        <v>7.7</v>
      </c>
      <c r="S21" s="11">
        <f t="shared" si="1"/>
        <v>277.2</v>
      </c>
    </row>
    <row r="22" spans="1:20" ht="20.25" customHeight="1">
      <c r="A22" s="24">
        <v>13</v>
      </c>
      <c r="B22" s="25" t="s">
        <v>116</v>
      </c>
      <c r="C22" s="16" t="s">
        <v>124</v>
      </c>
      <c r="D22" s="17">
        <v>72</v>
      </c>
      <c r="E22" s="15">
        <v>54</v>
      </c>
      <c r="F22" s="15" t="s">
        <v>136</v>
      </c>
      <c r="G22" s="15">
        <v>51.59</v>
      </c>
      <c r="H22" s="15" t="s">
        <v>136</v>
      </c>
      <c r="I22" s="15">
        <v>39</v>
      </c>
      <c r="J22" s="15" t="s">
        <v>136</v>
      </c>
      <c r="K22" s="15"/>
      <c r="L22" s="15" t="s">
        <v>136</v>
      </c>
      <c r="M22" s="15"/>
      <c r="N22" s="15"/>
      <c r="O22" s="15"/>
      <c r="P22" s="15"/>
      <c r="Q22" s="15"/>
      <c r="R22" s="15">
        <f t="shared" si="0"/>
        <v>48.196666666666665</v>
      </c>
      <c r="S22" s="11">
        <f t="shared" si="1"/>
        <v>3470.16</v>
      </c>
    </row>
    <row r="23" spans="1:20" ht="22.5" customHeight="1">
      <c r="A23" s="24">
        <v>14</v>
      </c>
      <c r="B23" s="25" t="s">
        <v>117</v>
      </c>
      <c r="C23" s="16" t="s">
        <v>110</v>
      </c>
      <c r="D23" s="17">
        <v>72</v>
      </c>
      <c r="E23" s="15">
        <v>24</v>
      </c>
      <c r="F23" s="15">
        <v>45.7</v>
      </c>
      <c r="G23" s="15">
        <v>36.04</v>
      </c>
      <c r="H23" s="15">
        <v>26.9</v>
      </c>
      <c r="I23" s="15">
        <v>23.78</v>
      </c>
      <c r="J23" s="15" t="s">
        <v>136</v>
      </c>
      <c r="K23" s="15"/>
      <c r="L23" s="15" t="s">
        <v>136</v>
      </c>
      <c r="M23" s="15"/>
      <c r="N23" s="15"/>
      <c r="O23" s="15"/>
      <c r="P23" s="15"/>
      <c r="Q23" s="15"/>
      <c r="R23" s="15">
        <f t="shared" si="0"/>
        <v>31.284000000000002</v>
      </c>
      <c r="S23" s="11">
        <f t="shared" si="1"/>
        <v>2252.4480000000003</v>
      </c>
    </row>
    <row r="24" spans="1:20" ht="22.5" customHeight="1">
      <c r="A24" s="24">
        <v>15</v>
      </c>
      <c r="B24" s="25" t="s">
        <v>172</v>
      </c>
      <c r="C24" s="16" t="s">
        <v>124</v>
      </c>
      <c r="D24" s="17">
        <v>216</v>
      </c>
      <c r="E24" s="15">
        <v>32</v>
      </c>
      <c r="F24" s="15">
        <v>31.8</v>
      </c>
      <c r="G24" s="15">
        <v>35.299999999999997</v>
      </c>
      <c r="H24" s="15">
        <v>27.9</v>
      </c>
      <c r="I24" s="15">
        <v>32.93</v>
      </c>
      <c r="J24" s="15" t="s">
        <v>136</v>
      </c>
      <c r="K24" s="15"/>
      <c r="L24" s="15" t="s">
        <v>136</v>
      </c>
      <c r="M24" s="15"/>
      <c r="N24" s="15"/>
      <c r="O24" s="15"/>
      <c r="P24" s="15"/>
      <c r="Q24" s="15"/>
      <c r="R24" s="15">
        <f t="shared" si="0"/>
        <v>31.986000000000001</v>
      </c>
      <c r="S24" s="11">
        <f>R24*D24</f>
        <v>6908.9760000000006</v>
      </c>
    </row>
    <row r="25" spans="1:20" ht="25.5" customHeight="1">
      <c r="A25" s="73">
        <v>16</v>
      </c>
      <c r="B25" s="80" t="s">
        <v>207</v>
      </c>
      <c r="C25" s="16" t="s">
        <v>110</v>
      </c>
      <c r="D25" s="17">
        <v>7</v>
      </c>
      <c r="E25" s="15"/>
      <c r="F25" s="15">
        <v>168.5</v>
      </c>
      <c r="G25" s="15"/>
      <c r="H25" s="15"/>
      <c r="I25" s="15"/>
      <c r="J25" s="15"/>
      <c r="K25" s="15"/>
      <c r="L25" s="15"/>
      <c r="M25" s="15">
        <v>149</v>
      </c>
      <c r="N25" s="15">
        <v>115</v>
      </c>
      <c r="O25" s="15"/>
      <c r="P25" s="15"/>
      <c r="Q25" s="15"/>
      <c r="R25" s="15">
        <f>AVERAGE(E25:Q25)</f>
        <v>144.16666666666666</v>
      </c>
      <c r="S25" s="11">
        <f>R25*D25</f>
        <v>1009.1666666666666</v>
      </c>
    </row>
    <row r="26" spans="1:20" ht="25.5" customHeight="1">
      <c r="A26" s="73">
        <v>17</v>
      </c>
      <c r="B26" s="80" t="s">
        <v>208</v>
      </c>
      <c r="C26" s="16" t="s">
        <v>110</v>
      </c>
      <c r="D26" s="17">
        <v>28</v>
      </c>
      <c r="E26" s="15"/>
      <c r="F26" s="15">
        <v>73.099999999999994</v>
      </c>
      <c r="G26" s="15"/>
      <c r="H26" s="15"/>
      <c r="I26" s="15"/>
      <c r="J26" s="15"/>
      <c r="K26" s="15"/>
      <c r="L26" s="15"/>
      <c r="M26" s="15">
        <v>79.900000000000006</v>
      </c>
      <c r="N26" s="15">
        <v>75</v>
      </c>
      <c r="O26" s="15"/>
      <c r="P26" s="15"/>
      <c r="Q26" s="15"/>
      <c r="R26" s="15">
        <f>AVERAGE(E26:Q26)</f>
        <v>76</v>
      </c>
      <c r="S26" s="11">
        <f t="shared" si="1"/>
        <v>2128</v>
      </c>
    </row>
    <row r="27" spans="1:20" ht="22.5" customHeight="1">
      <c r="A27" s="73">
        <v>18</v>
      </c>
      <c r="B27" s="74" t="s">
        <v>211</v>
      </c>
      <c r="C27" s="16" t="s">
        <v>110</v>
      </c>
      <c r="D27" s="17">
        <v>3</v>
      </c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>
        <v>859.9</v>
      </c>
      <c r="P27" s="15">
        <v>859.9</v>
      </c>
      <c r="Q27" s="15">
        <v>799.9</v>
      </c>
      <c r="R27" s="15">
        <f>AVERAGE(E27:Q27)</f>
        <v>839.9</v>
      </c>
      <c r="S27" s="11">
        <f t="shared" si="1"/>
        <v>2519.6999999999998</v>
      </c>
    </row>
    <row r="28" spans="1:20" ht="16.5" customHeight="1">
      <c r="A28" s="122" t="s">
        <v>173</v>
      </c>
      <c r="B28" s="122"/>
      <c r="C28" s="122"/>
      <c r="D28" s="122"/>
      <c r="E28" s="122"/>
      <c r="F28" s="122"/>
      <c r="G28" s="122"/>
      <c r="H28" s="122"/>
      <c r="I28" s="122"/>
      <c r="J28" s="122"/>
      <c r="K28" s="122"/>
      <c r="L28" s="122"/>
      <c r="M28" s="122"/>
      <c r="N28" s="122"/>
      <c r="O28" s="122"/>
      <c r="P28" s="122"/>
      <c r="Q28" s="122"/>
      <c r="R28" s="122"/>
      <c r="S28" s="11">
        <f>SUM(S10:S27)</f>
        <v>75687.855333333311</v>
      </c>
      <c r="T28" s="23"/>
    </row>
  </sheetData>
  <sheetProtection selectLockedCells="1" selectUnlockedCells="1"/>
  <mergeCells count="7">
    <mergeCell ref="A28:R28"/>
    <mergeCell ref="A5:S5"/>
    <mergeCell ref="A1:S3"/>
    <mergeCell ref="A4:S4"/>
    <mergeCell ref="A6:A7"/>
    <mergeCell ref="B6:S7"/>
    <mergeCell ref="A8:S8"/>
  </mergeCells>
  <phoneticPr fontId="0" type="noConversion"/>
  <pageMargins left="0.31496062992125984" right="0.11811023622047245" top="0.78740157480314965" bottom="0.78740157480314965" header="0.51181102362204722" footer="0.51181102362204722"/>
  <pageSetup paperSize="9" scale="49" firstPageNumber="0" fitToHeight="0" orientation="landscape" verticalDpi="300" r:id="rId1"/>
  <headerFooter alignWithMargins="0"/>
  <ignoredErrors>
    <ignoredError sqref="R13:R15 R17:R19 R21 R23" formulaRange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3"/>
  <sheetViews>
    <sheetView view="pageBreakPreview" topLeftCell="A22" zoomScaleNormal="100" zoomScaleSheetLayoutView="100" workbookViewId="0">
      <selection activeCell="I42" sqref="I42"/>
    </sheetView>
  </sheetViews>
  <sheetFormatPr defaultRowHeight="15"/>
  <cols>
    <col min="1" max="1" width="9.28515625" style="6" bestFit="1" customWidth="1"/>
    <col min="2" max="2" width="28.85546875" style="6" customWidth="1"/>
    <col min="3" max="3" width="15.42578125" style="6" customWidth="1"/>
    <col min="4" max="4" width="14.28515625" style="6" bestFit="1" customWidth="1"/>
    <col min="5" max="5" width="16.5703125" style="6" bestFit="1" customWidth="1"/>
    <col min="6" max="6" width="16.42578125" style="6" customWidth="1"/>
    <col min="7" max="8" width="9.140625" style="6"/>
    <col min="9" max="9" width="13.28515625" style="6" customWidth="1"/>
    <col min="10" max="16384" width="9.140625" style="6"/>
  </cols>
  <sheetData>
    <row r="1" spans="1:6" ht="15" customHeight="1">
      <c r="A1" s="116" t="s">
        <v>148</v>
      </c>
      <c r="B1" s="116"/>
      <c r="C1" s="116"/>
      <c r="D1" s="116"/>
      <c r="E1" s="116"/>
      <c r="F1" s="116"/>
    </row>
    <row r="2" spans="1:6" ht="15" customHeight="1">
      <c r="A2" s="116"/>
      <c r="B2" s="116"/>
      <c r="C2" s="116"/>
      <c r="D2" s="116"/>
      <c r="E2" s="116"/>
      <c r="F2" s="116"/>
    </row>
    <row r="3" spans="1:6" ht="15" customHeight="1">
      <c r="A3" s="116"/>
      <c r="B3" s="116"/>
      <c r="C3" s="116"/>
      <c r="D3" s="116"/>
      <c r="E3" s="116"/>
      <c r="F3" s="116"/>
    </row>
    <row r="4" spans="1:6" ht="20.25" customHeight="1">
      <c r="A4" s="123" t="s">
        <v>149</v>
      </c>
      <c r="B4" s="123"/>
      <c r="C4" s="123"/>
      <c r="D4" s="123"/>
      <c r="E4" s="123"/>
      <c r="F4" s="123"/>
    </row>
    <row r="5" spans="1:6" ht="15.75">
      <c r="A5" s="133" t="s">
        <v>122</v>
      </c>
      <c r="B5" s="133"/>
      <c r="C5" s="133"/>
      <c r="D5" s="133"/>
      <c r="E5" s="133"/>
      <c r="F5" s="133"/>
    </row>
    <row r="6" spans="1:6" ht="15.75">
      <c r="A6" s="124" t="s">
        <v>104</v>
      </c>
      <c r="B6" s="125"/>
      <c r="C6" s="125"/>
      <c r="D6" s="125"/>
      <c r="E6" s="125"/>
      <c r="F6" s="126"/>
    </row>
    <row r="7" spans="1:6" ht="31.5">
      <c r="A7" s="96" t="s">
        <v>0</v>
      </c>
      <c r="B7" s="96" t="s">
        <v>1</v>
      </c>
      <c r="C7" s="27" t="s">
        <v>106</v>
      </c>
      <c r="D7" s="27" t="s">
        <v>103</v>
      </c>
      <c r="E7" s="27" t="s">
        <v>105</v>
      </c>
      <c r="F7" s="27" t="s">
        <v>99</v>
      </c>
    </row>
    <row r="8" spans="1:6">
      <c r="A8" s="28">
        <v>1</v>
      </c>
      <c r="B8" s="95" t="s">
        <v>94</v>
      </c>
      <c r="C8" s="29">
        <v>27</v>
      </c>
      <c r="D8" s="5">
        <f>Funcionario!D60</f>
        <v>3250.7000000000003</v>
      </c>
      <c r="E8" s="8">
        <f>C8*D8</f>
        <v>87768.900000000009</v>
      </c>
      <c r="F8" s="8">
        <f>E8*12</f>
        <v>1053226.8</v>
      </c>
    </row>
    <row r="9" spans="1:6">
      <c r="A9" s="28">
        <v>2</v>
      </c>
      <c r="B9" s="90" t="s">
        <v>228</v>
      </c>
      <c r="C9" s="29">
        <v>1</v>
      </c>
      <c r="D9" s="5">
        <f>Funcionario!H60</f>
        <v>4651.3599999999997</v>
      </c>
      <c r="E9" s="8">
        <f>C9*D9</f>
        <v>4651.3599999999997</v>
      </c>
      <c r="F9" s="8">
        <f>E9*12</f>
        <v>55816.319999999992</v>
      </c>
    </row>
    <row r="10" spans="1:6" ht="15.75">
      <c r="A10" s="134" t="s">
        <v>107</v>
      </c>
      <c r="B10" s="134"/>
      <c r="C10" s="134"/>
      <c r="D10" s="134"/>
      <c r="E10" s="30">
        <f>SUM(E8)</f>
        <v>87768.900000000009</v>
      </c>
      <c r="F10" s="30">
        <f>SUM(F8:F9)</f>
        <v>1109043.1200000001</v>
      </c>
    </row>
    <row r="11" spans="1:6">
      <c r="A11" s="140"/>
      <c r="B11" s="141"/>
      <c r="C11" s="141"/>
      <c r="D11" s="141"/>
      <c r="E11" s="141"/>
      <c r="F11" s="142"/>
    </row>
    <row r="12" spans="1:6" ht="15.75">
      <c r="A12" s="124" t="s">
        <v>102</v>
      </c>
      <c r="B12" s="125"/>
      <c r="C12" s="125"/>
      <c r="D12" s="125"/>
      <c r="E12" s="125"/>
      <c r="F12" s="126"/>
    </row>
    <row r="13" spans="1:6" ht="15.75">
      <c r="A13" s="96" t="s">
        <v>0</v>
      </c>
      <c r="B13" s="133" t="s">
        <v>2</v>
      </c>
      <c r="C13" s="133"/>
      <c r="D13" s="133"/>
      <c r="E13" s="31" t="s">
        <v>174</v>
      </c>
      <c r="F13" s="32" t="s">
        <v>175</v>
      </c>
    </row>
    <row r="14" spans="1:6">
      <c r="A14" s="26">
        <v>1</v>
      </c>
      <c r="B14" s="132" t="s">
        <v>134</v>
      </c>
      <c r="C14" s="132"/>
      <c r="D14" s="132"/>
      <c r="E14" s="33">
        <f>(Uniformes!N14*30)/12</f>
        <v>1391.1583333333335</v>
      </c>
      <c r="F14" s="33">
        <f>E14*12</f>
        <v>16693.900000000001</v>
      </c>
    </row>
    <row r="15" spans="1:6">
      <c r="A15" s="28">
        <v>2</v>
      </c>
      <c r="B15" s="132" t="s">
        <v>100</v>
      </c>
      <c r="C15" s="132"/>
      <c r="D15" s="132"/>
      <c r="E15" s="34">
        <f>Ferramentas!S28/12</f>
        <v>6307.3212777777762</v>
      </c>
      <c r="F15" s="34">
        <f>E15*12</f>
        <v>75687.855333333311</v>
      </c>
    </row>
    <row r="16" spans="1:6">
      <c r="A16" s="28">
        <v>3</v>
      </c>
      <c r="B16" s="132" t="s">
        <v>101</v>
      </c>
      <c r="C16" s="132"/>
      <c r="D16" s="132"/>
      <c r="E16" s="34">
        <f>Equipamentos!L13</f>
        <v>25067.527333333332</v>
      </c>
      <c r="F16" s="34">
        <f>E16*12</f>
        <v>300810.32799999998</v>
      </c>
    </row>
    <row r="17" spans="1:6">
      <c r="A17" s="28">
        <v>4</v>
      </c>
      <c r="B17" s="132" t="s">
        <v>140</v>
      </c>
      <c r="C17" s="132"/>
      <c r="D17" s="132"/>
      <c r="E17" s="34">
        <f>F17/12</f>
        <v>4465.8900000000003</v>
      </c>
      <c r="F17" s="34">
        <f>I39</f>
        <v>53590.680000000008</v>
      </c>
    </row>
    <row r="18" spans="1:6">
      <c r="A18" s="28">
        <v>5</v>
      </c>
      <c r="B18" s="132" t="s">
        <v>143</v>
      </c>
      <c r="C18" s="132"/>
      <c r="D18" s="132"/>
      <c r="E18" s="34">
        <f>(30*15.78)</f>
        <v>473.4</v>
      </c>
      <c r="F18" s="34">
        <f>E18*12</f>
        <v>5680.7999999999993</v>
      </c>
    </row>
    <row r="19" spans="1:6">
      <c r="A19" s="28">
        <v>6</v>
      </c>
      <c r="B19" s="131" t="s">
        <v>141</v>
      </c>
      <c r="C19" s="131"/>
      <c r="D19" s="131"/>
      <c r="E19" s="8"/>
      <c r="F19" s="8"/>
    </row>
    <row r="20" spans="1:6" ht="15.75">
      <c r="A20" s="97"/>
      <c r="B20" s="133"/>
      <c r="C20" s="133"/>
      <c r="D20" s="133"/>
      <c r="E20" s="30">
        <f>SUM(E14:E19)</f>
        <v>37705.296944444446</v>
      </c>
      <c r="F20" s="30">
        <f>SUM(F14:F19)</f>
        <v>452463.56333333324</v>
      </c>
    </row>
    <row r="21" spans="1:6" ht="15.75">
      <c r="A21" s="137"/>
      <c r="B21" s="138"/>
      <c r="C21" s="138"/>
      <c r="D21" s="138"/>
      <c r="E21" s="138"/>
      <c r="F21" s="139"/>
    </row>
    <row r="22" spans="1:6" ht="15.75">
      <c r="A22" s="127" t="s">
        <v>78</v>
      </c>
      <c r="B22" s="128"/>
      <c r="C22" s="128"/>
      <c r="D22" s="128"/>
      <c r="E22" s="128"/>
      <c r="F22" s="129"/>
    </row>
    <row r="23" spans="1:6">
      <c r="A23" s="42"/>
      <c r="B23" s="131" t="str">
        <f>Encargos!B57</f>
        <v>LDI</v>
      </c>
      <c r="C23" s="131"/>
      <c r="D23" s="7">
        <v>0.1</v>
      </c>
      <c r="E23" s="8">
        <f>F23/12</f>
        <v>13012.555694444445</v>
      </c>
      <c r="F23" s="8">
        <f>(F10+F20)*D23</f>
        <v>156150.66833333333</v>
      </c>
    </row>
    <row r="24" spans="1:6">
      <c r="A24" s="42"/>
      <c r="B24" s="131" t="str">
        <f>Encargos!B58</f>
        <v>Despesas Administrativas / Operacionais</v>
      </c>
      <c r="C24" s="131"/>
      <c r="D24" s="7">
        <v>0.05</v>
      </c>
      <c r="E24" s="8">
        <f>F24/12</f>
        <v>6506.2778472222226</v>
      </c>
      <c r="F24" s="8">
        <f>(F10+F20)*D24</f>
        <v>78075.334166666667</v>
      </c>
    </row>
    <row r="25" spans="1:6" ht="15.75">
      <c r="A25" s="130" t="s">
        <v>82</v>
      </c>
      <c r="B25" s="130"/>
      <c r="C25" s="130"/>
      <c r="D25" s="130"/>
      <c r="E25" s="35">
        <f>SUM(E23:E24)</f>
        <v>19518.833541666667</v>
      </c>
      <c r="F25" s="36">
        <f>SUM(F23:F24)</f>
        <v>234226.0025</v>
      </c>
    </row>
    <row r="26" spans="1:6" ht="15.75">
      <c r="A26" s="148"/>
      <c r="B26" s="149"/>
      <c r="C26" s="149"/>
      <c r="D26" s="149"/>
      <c r="E26" s="149"/>
      <c r="F26" s="150"/>
    </row>
    <row r="27" spans="1:6" ht="15.75">
      <c r="A27" s="144" t="s">
        <v>135</v>
      </c>
      <c r="B27" s="144"/>
      <c r="C27" s="144"/>
      <c r="D27" s="144"/>
      <c r="E27" s="9">
        <f>E10+E20+E25</f>
        <v>144993.03048611112</v>
      </c>
      <c r="F27" s="37">
        <f>SUM(F10,F20,F25)</f>
        <v>1795732.6858333333</v>
      </c>
    </row>
    <row r="28" spans="1:6" ht="15.75">
      <c r="A28" s="145"/>
      <c r="B28" s="146"/>
      <c r="C28" s="146"/>
      <c r="D28" s="146"/>
      <c r="E28" s="146"/>
      <c r="F28" s="147"/>
    </row>
    <row r="29" spans="1:6" ht="15.75">
      <c r="A29" s="127" t="s">
        <v>83</v>
      </c>
      <c r="B29" s="128"/>
      <c r="C29" s="128"/>
      <c r="D29" s="128"/>
      <c r="E29" s="128"/>
      <c r="F29" s="129"/>
    </row>
    <row r="30" spans="1:6">
      <c r="A30" s="42"/>
      <c r="B30" s="143" t="str">
        <f>Encargos!B63</f>
        <v>ISSQN</v>
      </c>
      <c r="C30" s="143"/>
      <c r="D30" s="7">
        <v>0.05</v>
      </c>
      <c r="E30" s="10">
        <f>F30/12</f>
        <v>8190.7158333333327</v>
      </c>
      <c r="F30" s="38">
        <f>TRUNC(D30*F$35,2)</f>
        <v>98288.59</v>
      </c>
    </row>
    <row r="31" spans="1:6">
      <c r="A31" s="42"/>
      <c r="B31" s="143" t="str">
        <f>Encargos!B64</f>
        <v>COFINS</v>
      </c>
      <c r="C31" s="143"/>
      <c r="D31" s="7">
        <v>0.03</v>
      </c>
      <c r="E31" s="10">
        <f>F31/12</f>
        <v>4914.4291666666668</v>
      </c>
      <c r="F31" s="38">
        <f>TRUNC(D31*F$35,2)</f>
        <v>58973.15</v>
      </c>
    </row>
    <row r="32" spans="1:6">
      <c r="A32" s="42"/>
      <c r="B32" s="143" t="str">
        <f>Encargos!B65</f>
        <v>PIS</v>
      </c>
      <c r="C32" s="143"/>
      <c r="D32" s="7">
        <v>6.4999999999999997E-3</v>
      </c>
      <c r="E32" s="10">
        <f>F32/12</f>
        <v>1064.7925</v>
      </c>
      <c r="F32" s="38">
        <f>TRUNC(D32*F$35,2)</f>
        <v>12777.51</v>
      </c>
    </row>
    <row r="33" spans="1:9" ht="15.75">
      <c r="A33" s="130" t="s">
        <v>86</v>
      </c>
      <c r="B33" s="130"/>
      <c r="C33" s="130"/>
      <c r="D33" s="130"/>
      <c r="E33" s="39">
        <f>SUM(E30:E32)</f>
        <v>14169.9375</v>
      </c>
      <c r="F33" s="39">
        <f>SUM(F30:F32)</f>
        <v>170039.25</v>
      </c>
    </row>
    <row r="34" spans="1:9" ht="15.75">
      <c r="A34" s="151"/>
      <c r="B34" s="151"/>
      <c r="C34" s="151"/>
      <c r="D34" s="151"/>
      <c r="E34" s="151"/>
      <c r="F34" s="151"/>
    </row>
    <row r="35" spans="1:9" ht="15.75">
      <c r="A35" s="130" t="s">
        <v>93</v>
      </c>
      <c r="B35" s="130"/>
      <c r="C35" s="130"/>
      <c r="D35" s="130"/>
      <c r="E35" s="39">
        <f>E27+E33</f>
        <v>159162.96798611112</v>
      </c>
      <c r="F35" s="30">
        <f>(F10+F20+F25)/(1-D30-D31-D32)</f>
        <v>1965771.9604086846</v>
      </c>
    </row>
    <row r="36" spans="1:9" s="76" customFormat="1" ht="16.5" customHeight="1">
      <c r="A36" s="75"/>
      <c r="B36" s="75"/>
      <c r="C36" s="75"/>
      <c r="D36" s="75"/>
      <c r="E36" s="75"/>
      <c r="F36" s="75"/>
    </row>
    <row r="37" spans="1:9" s="76" customFormat="1" ht="16.5" customHeight="1">
      <c r="A37" s="77" t="s">
        <v>144</v>
      </c>
      <c r="B37" s="77"/>
      <c r="C37" s="78"/>
      <c r="D37" s="78"/>
      <c r="E37" s="78"/>
      <c r="F37" s="78"/>
    </row>
    <row r="38" spans="1:9" s="76" customFormat="1" ht="16.5" customHeight="1">
      <c r="A38" s="77"/>
      <c r="B38" s="77"/>
      <c r="C38" s="78"/>
      <c r="D38" s="78"/>
      <c r="E38" s="78"/>
      <c r="F38" s="78"/>
    </row>
    <row r="39" spans="1:9" s="76" customFormat="1" ht="16.5" customHeight="1">
      <c r="A39" s="77" t="s">
        <v>145</v>
      </c>
      <c r="B39" s="77"/>
      <c r="C39" s="78"/>
      <c r="D39" s="78"/>
      <c r="E39" s="78"/>
      <c r="F39" s="78"/>
      <c r="I39" s="76">
        <f>(221.22*2)+ (C50*12)*30</f>
        <v>53590.680000000008</v>
      </c>
    </row>
    <row r="40" spans="1:9" s="76" customFormat="1" ht="16.5" customHeight="1">
      <c r="A40" s="78" t="s">
        <v>219</v>
      </c>
      <c r="B40" s="77"/>
      <c r="C40" s="78"/>
      <c r="D40" s="78"/>
      <c r="E40" s="78"/>
      <c r="F40" s="78"/>
    </row>
    <row r="41" spans="1:9" s="76" customFormat="1" ht="16.5" customHeight="1">
      <c r="A41" s="78" t="s">
        <v>237</v>
      </c>
      <c r="B41" s="77"/>
      <c r="C41" s="78"/>
      <c r="D41" s="78"/>
      <c r="E41" s="78"/>
      <c r="F41" s="78"/>
    </row>
    <row r="42" spans="1:9" s="76" customFormat="1" ht="16.5" customHeight="1">
      <c r="A42" s="78" t="s">
        <v>220</v>
      </c>
      <c r="B42" s="77"/>
      <c r="C42" s="78"/>
      <c r="D42" s="78"/>
      <c r="E42" s="78"/>
      <c r="F42" s="78"/>
    </row>
    <row r="43" spans="1:9" s="76" customFormat="1" ht="16.5" customHeight="1">
      <c r="A43" s="136" t="s">
        <v>221</v>
      </c>
      <c r="B43" s="136"/>
      <c r="C43" s="136"/>
      <c r="D43" s="136"/>
      <c r="E43" s="136"/>
      <c r="F43" s="136"/>
    </row>
    <row r="44" spans="1:9" s="76" customFormat="1" ht="16.5" customHeight="1">
      <c r="A44" s="136"/>
      <c r="B44" s="136"/>
      <c r="C44" s="136"/>
      <c r="D44" s="136"/>
      <c r="E44" s="136"/>
      <c r="F44" s="136"/>
    </row>
    <row r="45" spans="1:9" s="76" customFormat="1" ht="16.5" customHeight="1">
      <c r="A45" s="135" t="s">
        <v>229</v>
      </c>
      <c r="B45" s="135"/>
      <c r="C45" s="135"/>
      <c r="D45" s="135"/>
      <c r="E45" s="135"/>
      <c r="F45" s="135"/>
    </row>
    <row r="48" spans="1:9">
      <c r="A48" s="6" t="s">
        <v>222</v>
      </c>
    </row>
    <row r="49" spans="1:3">
      <c r="A49" s="6" t="s">
        <v>223</v>
      </c>
      <c r="B49" s="6">
        <v>100.23</v>
      </c>
    </row>
    <row r="50" spans="1:3">
      <c r="A50" s="6" t="s">
        <v>226</v>
      </c>
      <c r="B50" s="6">
        <v>207.24</v>
      </c>
      <c r="C50" s="89">
        <f>AVERAGE(B49:B53)</f>
        <v>147.63400000000001</v>
      </c>
    </row>
    <row r="51" spans="1:3">
      <c r="A51" s="6" t="s">
        <v>224</v>
      </c>
      <c r="B51" s="89">
        <v>251.7</v>
      </c>
    </row>
    <row r="52" spans="1:3">
      <c r="A52" s="6" t="s">
        <v>225</v>
      </c>
      <c r="B52" s="89">
        <v>99</v>
      </c>
    </row>
    <row r="53" spans="1:3">
      <c r="A53" s="6" t="s">
        <v>227</v>
      </c>
      <c r="B53" s="89">
        <v>80</v>
      </c>
    </row>
  </sheetData>
  <mergeCells count="32">
    <mergeCell ref="A45:F45"/>
    <mergeCell ref="A43:F44"/>
    <mergeCell ref="A21:F21"/>
    <mergeCell ref="A11:F11"/>
    <mergeCell ref="A35:D35"/>
    <mergeCell ref="B24:C24"/>
    <mergeCell ref="B30:C30"/>
    <mergeCell ref="A33:D33"/>
    <mergeCell ref="B32:C32"/>
    <mergeCell ref="A27:D27"/>
    <mergeCell ref="B31:C31"/>
    <mergeCell ref="A28:F28"/>
    <mergeCell ref="A26:F26"/>
    <mergeCell ref="A34:F34"/>
    <mergeCell ref="B18:D18"/>
    <mergeCell ref="A12:F12"/>
    <mergeCell ref="A6:F6"/>
    <mergeCell ref="A22:F22"/>
    <mergeCell ref="A29:F29"/>
    <mergeCell ref="A1:F3"/>
    <mergeCell ref="A4:F4"/>
    <mergeCell ref="A25:D25"/>
    <mergeCell ref="B19:D19"/>
    <mergeCell ref="B23:C23"/>
    <mergeCell ref="B17:D17"/>
    <mergeCell ref="B20:D20"/>
    <mergeCell ref="A5:F5"/>
    <mergeCell ref="A10:D10"/>
    <mergeCell ref="B13:D13"/>
    <mergeCell ref="B15:D15"/>
    <mergeCell ref="B16:D16"/>
    <mergeCell ref="B14:D14"/>
  </mergeCells>
  <phoneticPr fontId="23" type="noConversion"/>
  <pageMargins left="0.47244094488188981" right="0.19685039370078741" top="0.98425196850393704" bottom="0.98425196850393704" header="0.51181102362204722" footer="0.51181102362204722"/>
  <pageSetup paperSize="9" scale="98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6</vt:i4>
      </vt:variant>
      <vt:variant>
        <vt:lpstr>Intervalos nomeados</vt:lpstr>
      </vt:variant>
      <vt:variant>
        <vt:i4>7</vt:i4>
      </vt:variant>
    </vt:vector>
  </HeadingPairs>
  <TitlesOfParts>
    <vt:vector size="13" baseType="lpstr">
      <vt:lpstr>Encargos</vt:lpstr>
      <vt:lpstr>Funcionario</vt:lpstr>
      <vt:lpstr>Equipamentos</vt:lpstr>
      <vt:lpstr>Uniformes</vt:lpstr>
      <vt:lpstr>Ferramentas</vt:lpstr>
      <vt:lpstr>Custo Total</vt:lpstr>
      <vt:lpstr>'Custo Total'!Area_de_impressao</vt:lpstr>
      <vt:lpstr>Encargos!Area_de_impressao</vt:lpstr>
      <vt:lpstr>Equipamentos!Area_de_impressao</vt:lpstr>
      <vt:lpstr>Ferramentas!Area_de_impressao</vt:lpstr>
      <vt:lpstr>Funcionario!Area_de_impressao</vt:lpstr>
      <vt:lpstr>Uniformes!Area_de_impressao</vt:lpstr>
      <vt:lpstr>Encargos!Titulos_de_impressao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TESOURARIA 1</dc:creator>
  <cp:lastModifiedBy>User</cp:lastModifiedBy>
  <cp:lastPrinted>2023-03-01T18:50:10Z</cp:lastPrinted>
  <dcterms:created xsi:type="dcterms:W3CDTF">2014-08-29T18:45:34Z</dcterms:created>
  <dcterms:modified xsi:type="dcterms:W3CDTF">2023-03-03T12:47:01Z</dcterms:modified>
</cp:coreProperties>
</file>