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 tabRatio="646" activeTab="5"/>
  </bookViews>
  <sheets>
    <sheet name="Plan. Orçamentária (2)" sheetId="19" r:id="rId1"/>
    <sheet name="Plan. Orçamentária" sheetId="12" r:id="rId2"/>
    <sheet name="Mem. Cálc. - P.O" sheetId="13" r:id="rId3"/>
    <sheet name="C.P.U." sheetId="14" r:id="rId4"/>
    <sheet name="BDI" sheetId="18" r:id="rId5"/>
    <sheet name="Cronograma Fis-Fin" sheetId="17" r:id="rId6"/>
  </sheets>
  <externalReferences>
    <externalReference r:id="rId7"/>
  </externalReferences>
  <definedNames>
    <definedName name="_xlnm.Print_Area" localSheetId="4">BDI!$A$1:$J$54</definedName>
    <definedName name="_xlnm.Print_Area" localSheetId="3">'C.P.U.'!$A$1:$H$21</definedName>
    <definedName name="_xlnm.Print_Area" localSheetId="5">'Cronograma Fis-Fin'!$A$1:$P$36</definedName>
    <definedName name="_xlnm.Print_Area" localSheetId="2">'Mem. Cálc. - P.O'!$A$1:$J$248</definedName>
    <definedName name="_xlnm.Print_Area" localSheetId="1">'Plan. Orçamentária'!$A$1:$J$61</definedName>
    <definedName name="_xlnm.Print_Area" localSheetId="0">'Plan. Orçamentária (2)'!$A$1:$J$61</definedName>
    <definedName name="_xlnm.Database" localSheetId="0">#REF!</definedName>
    <definedName name="_xlnm.Database">#REF!</definedName>
    <definedName name="_xlnm.Print_Titles" localSheetId="3">'C.P.U.'!$1:$8</definedName>
    <definedName name="_xlnm.Print_Titles" localSheetId="5">'Cronograma Fis-Fin'!$1:$10</definedName>
    <definedName name="_xlnm.Print_Titles" localSheetId="2">'Mem. Cálc. - P.O'!$1:$8</definedName>
    <definedName name="_xlnm.Print_Titles" localSheetId="1">'Plan. Orçamentária'!$1:$9</definedName>
    <definedName name="_xlnm.Print_Titles" localSheetId="0">'Plan. Orçamentária (2)'!$1:$9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9" l="1"/>
  <c r="J50" i="19"/>
  <c r="I50" i="19"/>
  <c r="F50" i="19"/>
  <c r="I49" i="19"/>
  <c r="F49" i="19"/>
  <c r="J49" i="19" s="1"/>
  <c r="J48" i="19"/>
  <c r="I48" i="19"/>
  <c r="F48" i="19"/>
  <c r="I47" i="19"/>
  <c r="F47" i="19"/>
  <c r="J47" i="19" s="1"/>
  <c r="J46" i="19"/>
  <c r="I46" i="19"/>
  <c r="F46" i="19"/>
  <c r="I45" i="19"/>
  <c r="F45" i="19"/>
  <c r="J45" i="19" s="1"/>
  <c r="J44" i="19"/>
  <c r="I44" i="19"/>
  <c r="F44" i="19"/>
  <c r="I43" i="19"/>
  <c r="F43" i="19"/>
  <c r="J43" i="19" s="1"/>
  <c r="J42" i="19"/>
  <c r="I42" i="19"/>
  <c r="F42" i="19"/>
  <c r="A40" i="19"/>
  <c r="J39" i="19"/>
  <c r="I39" i="19"/>
  <c r="H39" i="19"/>
  <c r="F39" i="19"/>
  <c r="I38" i="19"/>
  <c r="F38" i="19"/>
  <c r="J38" i="19" s="1"/>
  <c r="J37" i="19"/>
  <c r="I37" i="19"/>
  <c r="F37" i="19"/>
  <c r="I36" i="19"/>
  <c r="F36" i="19"/>
  <c r="J36" i="19" s="1"/>
  <c r="J35" i="19"/>
  <c r="I35" i="19"/>
  <c r="F35" i="19"/>
  <c r="I34" i="19"/>
  <c r="F34" i="19"/>
  <c r="J34" i="19" s="1"/>
  <c r="J33" i="19"/>
  <c r="I33" i="19"/>
  <c r="F33" i="19"/>
  <c r="I32" i="19"/>
  <c r="F32" i="19"/>
  <c r="J32" i="19" s="1"/>
  <c r="J31" i="19"/>
  <c r="I31" i="19"/>
  <c r="F31" i="19"/>
  <c r="I30" i="19"/>
  <c r="F30" i="19"/>
  <c r="J30" i="19" s="1"/>
  <c r="J29" i="19"/>
  <c r="I29" i="19"/>
  <c r="F29" i="19"/>
  <c r="A27" i="19"/>
  <c r="F26" i="19"/>
  <c r="F25" i="19"/>
  <c r="A23" i="19"/>
  <c r="H22" i="19"/>
  <c r="A20" i="19"/>
  <c r="F19" i="19"/>
  <c r="A19" i="19"/>
  <c r="O18" i="19"/>
  <c r="F18" i="19"/>
  <c r="A18" i="19"/>
  <c r="O17" i="19"/>
  <c r="F17" i="19"/>
  <c r="A17" i="19"/>
  <c r="O16" i="19"/>
  <c r="F16" i="19"/>
  <c r="A16" i="19"/>
  <c r="F15" i="19"/>
  <c r="A15" i="19"/>
  <c r="A13" i="19"/>
  <c r="F12" i="19"/>
  <c r="A12" i="19"/>
  <c r="F11" i="19"/>
  <c r="A11" i="19"/>
  <c r="I6" i="19"/>
  <c r="I25" i="19" s="1"/>
  <c r="J25" i="19" l="1"/>
  <c r="J40" i="19"/>
  <c r="J51" i="19"/>
  <c r="I17" i="19"/>
  <c r="J17" i="19" s="1"/>
  <c r="I16" i="19"/>
  <c r="J16" i="19" s="1"/>
  <c r="I15" i="19"/>
  <c r="J15" i="19" s="1"/>
  <c r="I22" i="19"/>
  <c r="J22" i="19" s="1"/>
  <c r="J23" i="19" s="1"/>
  <c r="I19" i="19"/>
  <c r="J19" i="19" s="1"/>
  <c r="I18" i="19"/>
  <c r="J18" i="19" s="1"/>
  <c r="I26" i="19"/>
  <c r="J26" i="19" s="1"/>
  <c r="B6" i="18"/>
  <c r="J20" i="19" l="1"/>
  <c r="J27" i="19"/>
  <c r="G36" i="17"/>
  <c r="A15" i="14" l="1"/>
  <c r="A20" i="12"/>
  <c r="A13" i="12"/>
  <c r="A21" i="14"/>
  <c r="F20" i="14"/>
  <c r="H20" i="14" s="1"/>
  <c r="F19" i="14"/>
  <c r="H19" i="14" s="1"/>
  <c r="F18" i="14"/>
  <c r="H18" i="14" s="1"/>
  <c r="H21" i="14" s="1"/>
  <c r="B16" i="14"/>
  <c r="B6" i="14"/>
  <c r="A12" i="12"/>
  <c r="A43" i="13"/>
  <c r="B43" i="13"/>
  <c r="J45" i="13"/>
  <c r="J46" i="13" s="1"/>
  <c r="A46" i="13"/>
  <c r="A47" i="13"/>
  <c r="B47" i="13"/>
  <c r="J49" i="13"/>
  <c r="J50" i="13"/>
  <c r="J51" i="13"/>
  <c r="J52" i="13"/>
  <c r="J53" i="13"/>
  <c r="J54" i="13"/>
  <c r="J55" i="13"/>
  <c r="J56" i="13"/>
  <c r="A57" i="13"/>
  <c r="J57" i="13" l="1"/>
  <c r="D14" i="14" l="1"/>
  <c r="D13" i="14"/>
  <c r="D12" i="14"/>
  <c r="D11" i="14"/>
  <c r="A41" i="13"/>
  <c r="A37" i="13"/>
  <c r="A33" i="13"/>
  <c r="A29" i="13"/>
  <c r="A23" i="13"/>
  <c r="J22" i="13"/>
  <c r="J23" i="13" s="1"/>
  <c r="F12" i="12" s="1"/>
  <c r="A40" i="12" l="1"/>
  <c r="A16" i="12" l="1"/>
  <c r="A17" i="12"/>
  <c r="A18" i="12"/>
  <c r="A19" i="12"/>
  <c r="H178" i="13"/>
  <c r="D160" i="13"/>
  <c r="J160" i="13" s="1"/>
  <c r="D159" i="13"/>
  <c r="J159" i="13" s="1"/>
  <c r="D158" i="13"/>
  <c r="J158" i="13" s="1"/>
  <c r="D157" i="13"/>
  <c r="J157" i="13" s="1"/>
  <c r="D156" i="13"/>
  <c r="J156" i="13" s="1"/>
  <c r="I34" i="12"/>
  <c r="A122" i="13"/>
  <c r="B119" i="13"/>
  <c r="A119" i="13"/>
  <c r="D121" i="13"/>
  <c r="J121" i="13" s="1"/>
  <c r="J122" i="13" s="1"/>
  <c r="F34" i="12" s="1"/>
  <c r="D128" i="13"/>
  <c r="D129" i="13"/>
  <c r="D130" i="13"/>
  <c r="D131" i="13"/>
  <c r="D132" i="13"/>
  <c r="D133" i="13"/>
  <c r="D134" i="13"/>
  <c r="D135" i="13"/>
  <c r="D136" i="13"/>
  <c r="D137" i="13"/>
  <c r="D138" i="13"/>
  <c r="D139" i="13"/>
  <c r="D140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27" i="13"/>
  <c r="D117" i="13"/>
  <c r="J117" i="13" s="1"/>
  <c r="J113" i="13"/>
  <c r="J112" i="13"/>
  <c r="J111" i="13"/>
  <c r="J110" i="13"/>
  <c r="J109" i="13"/>
  <c r="J108" i="13"/>
  <c r="J107" i="13"/>
  <c r="J106" i="13"/>
  <c r="J105" i="13"/>
  <c r="J104" i="13"/>
  <c r="J103" i="13"/>
  <c r="J102" i="13"/>
  <c r="J101" i="13"/>
  <c r="D100" i="13"/>
  <c r="J100" i="13" s="1"/>
  <c r="D96" i="13"/>
  <c r="J96" i="13" s="1"/>
  <c r="J95" i="13"/>
  <c r="J94" i="13"/>
  <c r="J93" i="13"/>
  <c r="J92" i="13"/>
  <c r="J91" i="13"/>
  <c r="J90" i="13"/>
  <c r="J89" i="13"/>
  <c r="J88" i="13"/>
  <c r="J87" i="13"/>
  <c r="J86" i="13"/>
  <c r="J85" i="13"/>
  <c r="J84" i="13"/>
  <c r="J83" i="13"/>
  <c r="D82" i="13"/>
  <c r="J82" i="13" s="1"/>
  <c r="D61" i="13"/>
  <c r="J161" i="13" l="1"/>
  <c r="J34" i="12"/>
  <c r="G139" i="13"/>
  <c r="G133" i="13"/>
  <c r="G135" i="13"/>
  <c r="G129" i="13"/>
  <c r="G137" i="13"/>
  <c r="G131" i="13"/>
  <c r="G140" i="13"/>
  <c r="G134" i="13"/>
  <c r="G128" i="13"/>
  <c r="G136" i="13"/>
  <c r="G130" i="13"/>
  <c r="G138" i="13"/>
  <c r="G132" i="13"/>
  <c r="D127" i="13"/>
  <c r="G127" i="13" s="1"/>
  <c r="D141" i="13"/>
  <c r="G141" i="13" s="1"/>
  <c r="J114" i="13"/>
  <c r="J97" i="13"/>
  <c r="G142" i="13" l="1"/>
  <c r="F63" i="13" l="1"/>
  <c r="J63" i="13" s="1"/>
  <c r="F64" i="13"/>
  <c r="J64" i="13" s="1"/>
  <c r="F65" i="13"/>
  <c r="J65" i="13" s="1"/>
  <c r="F66" i="13"/>
  <c r="J66" i="13" s="1"/>
  <c r="F67" i="13"/>
  <c r="J67" i="13" s="1"/>
  <c r="F68" i="13"/>
  <c r="J68" i="13" s="1"/>
  <c r="F69" i="13"/>
  <c r="J69" i="13" s="1"/>
  <c r="F70" i="13"/>
  <c r="J70" i="13" s="1"/>
  <c r="F71" i="13"/>
  <c r="J71" i="13" s="1"/>
  <c r="F72" i="13"/>
  <c r="J72" i="13" s="1"/>
  <c r="F73" i="13"/>
  <c r="J73" i="13" s="1"/>
  <c r="F74" i="13"/>
  <c r="J74" i="13" s="1"/>
  <c r="F62" i="13"/>
  <c r="J62" i="13" s="1"/>
  <c r="D78" i="13"/>
  <c r="J78" i="13" s="1"/>
  <c r="J79" i="13" s="1"/>
  <c r="J61" i="13"/>
  <c r="J210" i="13"/>
  <c r="J209" i="13"/>
  <c r="J208" i="13"/>
  <c r="J207" i="13"/>
  <c r="J206" i="13"/>
  <c r="J205" i="13"/>
  <c r="J204" i="13"/>
  <c r="J203" i="13"/>
  <c r="J202" i="13"/>
  <c r="J201" i="13"/>
  <c r="J184" i="13"/>
  <c r="J185" i="13"/>
  <c r="J186" i="13"/>
  <c r="J187" i="13"/>
  <c r="J188" i="13"/>
  <c r="J189" i="13"/>
  <c r="J190" i="13"/>
  <c r="J191" i="13"/>
  <c r="A18" i="13"/>
  <c r="J17" i="13"/>
  <c r="J75" i="13" l="1"/>
  <c r="H127" i="13" s="1"/>
  <c r="J127" i="13" s="1"/>
  <c r="J143" i="13" s="1"/>
  <c r="J211" i="13"/>
  <c r="J18" i="13"/>
  <c r="F11" i="12" s="1"/>
  <c r="O17" i="12"/>
  <c r="O16" i="12"/>
  <c r="O18" i="12" l="1"/>
  <c r="A211" i="13"/>
  <c r="F50" i="12"/>
  <c r="B199" i="13"/>
  <c r="A199" i="13"/>
  <c r="I50" i="12"/>
  <c r="J50" i="12" l="1"/>
  <c r="F30" i="17" s="1"/>
  <c r="A166" i="13"/>
  <c r="B162" i="13"/>
  <c r="A162" i="13"/>
  <c r="J165" i="13"/>
  <c r="J164" i="13"/>
  <c r="A161" i="13"/>
  <c r="B154" i="13"/>
  <c r="A154" i="13"/>
  <c r="A153" i="13"/>
  <c r="B149" i="13"/>
  <c r="A149" i="13"/>
  <c r="I38" i="12"/>
  <c r="I37" i="12"/>
  <c r="I29" i="17" l="1"/>
  <c r="G29" i="17"/>
  <c r="F38" i="12"/>
  <c r="J38" i="12" s="1"/>
  <c r="J166" i="13"/>
  <c r="F39" i="12" s="1"/>
  <c r="J152" i="13"/>
  <c r="A197" i="13"/>
  <c r="B194" i="13"/>
  <c r="A194" i="13"/>
  <c r="A248" i="13"/>
  <c r="I49" i="12"/>
  <c r="B245" i="13"/>
  <c r="A245" i="13"/>
  <c r="I48" i="12"/>
  <c r="A192" i="13"/>
  <c r="B181" i="13"/>
  <c r="A181" i="13"/>
  <c r="I47" i="12"/>
  <c r="A244" i="13"/>
  <c r="B241" i="13"/>
  <c r="A241" i="13"/>
  <c r="A240" i="13"/>
  <c r="J243" i="13"/>
  <c r="J244" i="13" s="1"/>
  <c r="F46" i="12" s="1"/>
  <c r="I46" i="12"/>
  <c r="B237" i="13"/>
  <c r="A237" i="13"/>
  <c r="I45" i="12"/>
  <c r="A179" i="13"/>
  <c r="B176" i="13"/>
  <c r="A176" i="13"/>
  <c r="A175" i="13"/>
  <c r="B172" i="13"/>
  <c r="A172" i="13"/>
  <c r="I44" i="12"/>
  <c r="I43" i="12"/>
  <c r="J46" i="12" l="1"/>
  <c r="D183" i="13"/>
  <c r="J183" i="13" s="1"/>
  <c r="J25" i="18"/>
  <c r="J28" i="18" s="1"/>
  <c r="I6" i="12" s="1"/>
  <c r="A6" i="18"/>
  <c r="A5" i="18"/>
  <c r="A4" i="18"/>
  <c r="J40" i="13"/>
  <c r="J41" i="13" s="1"/>
  <c r="F14" i="14" s="1"/>
  <c r="H14" i="14" s="1"/>
  <c r="J36" i="13"/>
  <c r="J37" i="13" s="1"/>
  <c r="F13" i="14" s="1"/>
  <c r="H13" i="14" s="1"/>
  <c r="F26" i="12"/>
  <c r="J192" i="13" l="1"/>
  <c r="F47" i="12" s="1"/>
  <c r="J47" i="12" s="1"/>
  <c r="F26" i="17" s="1"/>
  <c r="J27" i="18"/>
  <c r="F25" i="12"/>
  <c r="J32" i="13"/>
  <c r="J33" i="13" s="1"/>
  <c r="F12" i="14" s="1"/>
  <c r="H12" i="14" s="1"/>
  <c r="J233" i="13"/>
  <c r="J232" i="13"/>
  <c r="B25" i="13"/>
  <c r="B9" i="14" s="1"/>
  <c r="A25" i="13"/>
  <c r="J28" i="13"/>
  <c r="J29" i="13" s="1"/>
  <c r="F11" i="14" s="1"/>
  <c r="H11" i="14" s="1"/>
  <c r="I16" i="12"/>
  <c r="I17" i="12"/>
  <c r="I18" i="12"/>
  <c r="I19" i="12"/>
  <c r="A234" i="13"/>
  <c r="B230" i="13"/>
  <c r="A229" i="13"/>
  <c r="B226" i="13"/>
  <c r="J228" i="13"/>
  <c r="J229" i="13" s="1"/>
  <c r="F18" i="12" s="1"/>
  <c r="J18" i="12" s="1"/>
  <c r="A27" i="12"/>
  <c r="A23" i="12"/>
  <c r="I26" i="12"/>
  <c r="J26" i="12" s="1"/>
  <c r="I25" i="12"/>
  <c r="A226" i="13"/>
  <c r="A230" i="13"/>
  <c r="G25" i="17" l="1"/>
  <c r="I25" i="17"/>
  <c r="H25" i="17"/>
  <c r="H15" i="14"/>
  <c r="R26" i="17"/>
  <c r="J25" i="12"/>
  <c r="J6" i="18"/>
  <c r="J234" i="13"/>
  <c r="F19" i="12" s="1"/>
  <c r="J19" i="12" s="1"/>
  <c r="A171" i="13"/>
  <c r="B168" i="13"/>
  <c r="J170" i="13"/>
  <c r="J171" i="13" s="1"/>
  <c r="H247" i="13" s="1"/>
  <c r="J247" i="13" s="1"/>
  <c r="J248" i="13" s="1"/>
  <c r="F48" i="12" s="1"/>
  <c r="J48" i="12" s="1"/>
  <c r="J118" i="13"/>
  <c r="F33" i="12" s="1"/>
  <c r="F30" i="12"/>
  <c r="J239" i="13"/>
  <c r="J240" i="13" s="1"/>
  <c r="F45" i="12" s="1"/>
  <c r="J45" i="12" s="1"/>
  <c r="J224" i="13"/>
  <c r="J225" i="13" s="1"/>
  <c r="F17" i="12" s="1"/>
  <c r="J17" i="12" s="1"/>
  <c r="J220" i="13"/>
  <c r="J221" i="13" s="1"/>
  <c r="F16" i="12" s="1"/>
  <c r="J16" i="12" s="1"/>
  <c r="J216" i="13"/>
  <c r="I42" i="12"/>
  <c r="A168" i="13"/>
  <c r="F34" i="17" l="1"/>
  <c r="I22" i="12"/>
  <c r="J22" i="12" s="1"/>
  <c r="S20" i="17"/>
  <c r="J27" i="12"/>
  <c r="F18" i="17" s="1"/>
  <c r="G17" i="17" s="1"/>
  <c r="J217" i="13"/>
  <c r="F15" i="12" s="1"/>
  <c r="F29" i="12"/>
  <c r="G174" i="13"/>
  <c r="J174" i="13" s="1"/>
  <c r="J175" i="13" s="1"/>
  <c r="J196" i="13" s="1"/>
  <c r="J197" i="13" s="1"/>
  <c r="F49" i="12" s="1"/>
  <c r="F42" i="12"/>
  <c r="J42" i="12" s="1"/>
  <c r="F31" i="12"/>
  <c r="F32" i="12"/>
  <c r="A148" i="13"/>
  <c r="A143" i="13"/>
  <c r="J151" i="13"/>
  <c r="R18" i="17" l="1"/>
  <c r="J23" i="12"/>
  <c r="F16" i="17" s="1"/>
  <c r="S18" i="17"/>
  <c r="J49" i="12"/>
  <c r="F28" i="17" s="1"/>
  <c r="J153" i="13"/>
  <c r="F37" i="12" s="1"/>
  <c r="J37" i="12" s="1"/>
  <c r="F43" i="12"/>
  <c r="J43" i="12" s="1"/>
  <c r="F24" i="17" s="1"/>
  <c r="G178" i="13"/>
  <c r="J178" i="13" s="1"/>
  <c r="J179" i="13" s="1"/>
  <c r="F44" i="12" s="1"/>
  <c r="J44" i="12" s="1"/>
  <c r="A51" i="12"/>
  <c r="B144" i="13"/>
  <c r="A144" i="13"/>
  <c r="J147" i="13"/>
  <c r="J146" i="13"/>
  <c r="A118" i="13"/>
  <c r="B124" i="13"/>
  <c r="A124" i="13"/>
  <c r="I35" i="12"/>
  <c r="B115" i="13"/>
  <c r="A115" i="13"/>
  <c r="I33" i="12"/>
  <c r="J33" i="12" s="1"/>
  <c r="A114" i="13"/>
  <c r="A97" i="13"/>
  <c r="B98" i="13"/>
  <c r="A98" i="13"/>
  <c r="I32" i="12"/>
  <c r="J32" i="12" s="1"/>
  <c r="B80" i="13"/>
  <c r="A80" i="13"/>
  <c r="I31" i="12"/>
  <c r="J31" i="12" s="1"/>
  <c r="A75" i="13"/>
  <c r="A79" i="13"/>
  <c r="B76" i="13"/>
  <c r="A76" i="13"/>
  <c r="I30" i="12"/>
  <c r="J30" i="12" s="1"/>
  <c r="B59" i="13"/>
  <c r="A59" i="13"/>
  <c r="I29" i="12"/>
  <c r="A225" i="13"/>
  <c r="B222" i="13"/>
  <c r="A221" i="13"/>
  <c r="B218" i="13"/>
  <c r="A218" i="13"/>
  <c r="A222" i="13"/>
  <c r="T18" i="17" l="1"/>
  <c r="I23" i="17"/>
  <c r="G23" i="17"/>
  <c r="H23" i="17"/>
  <c r="R24" i="17"/>
  <c r="G15" i="17"/>
  <c r="H15" i="17"/>
  <c r="I15" i="17"/>
  <c r="R16" i="17"/>
  <c r="I27" i="17"/>
  <c r="G27" i="17"/>
  <c r="S16" i="17"/>
  <c r="T16" i="17" s="1"/>
  <c r="R30" i="17"/>
  <c r="J51" i="12"/>
  <c r="I39" i="12"/>
  <c r="J39" i="12" s="1"/>
  <c r="J29" i="12"/>
  <c r="F20" i="17" s="1"/>
  <c r="J148" i="13"/>
  <c r="F36" i="12" s="1"/>
  <c r="H19" i="17" l="1"/>
  <c r="I19" i="17"/>
  <c r="G19" i="17"/>
  <c r="R20" i="17"/>
  <c r="T20" i="17" s="1"/>
  <c r="R34" i="17"/>
  <c r="R28" i="17"/>
  <c r="F35" i="12"/>
  <c r="J35" i="12" s="1"/>
  <c r="B6" i="17"/>
  <c r="P6" i="17"/>
  <c r="O6" i="17"/>
  <c r="N6" i="17"/>
  <c r="A6" i="17"/>
  <c r="A5" i="17"/>
  <c r="A15" i="12" l="1"/>
  <c r="A11" i="12"/>
  <c r="A15" i="13" s="1"/>
  <c r="A236" i="13" l="1"/>
  <c r="B236" i="13"/>
  <c r="A217" i="13" l="1"/>
  <c r="A5" i="13" l="1"/>
  <c r="G6" i="14"/>
  <c r="F6" i="14"/>
  <c r="E6" i="14"/>
  <c r="A6" i="14"/>
  <c r="A5" i="14"/>
  <c r="A4" i="14"/>
  <c r="A214" i="13"/>
  <c r="B214" i="13"/>
  <c r="B213" i="13"/>
  <c r="A213" i="13"/>
  <c r="I15" i="12"/>
  <c r="J15" i="12" s="1"/>
  <c r="B9" i="13"/>
  <c r="A9" i="13"/>
  <c r="J6" i="13"/>
  <c r="I6" i="13"/>
  <c r="H6" i="13"/>
  <c r="A6" i="13"/>
  <c r="B6" i="13"/>
  <c r="A4" i="13"/>
  <c r="I36" i="12" l="1"/>
  <c r="J36" i="12" s="1"/>
  <c r="F22" i="17" s="1"/>
  <c r="H21" i="17" l="1"/>
  <c r="G21" i="17"/>
  <c r="I21" i="17"/>
  <c r="R22" i="17"/>
  <c r="J40" i="12"/>
  <c r="J20" i="12" l="1"/>
  <c r="S14" i="17"/>
  <c r="F32" i="17" l="1"/>
  <c r="D13" i="13"/>
  <c r="F13" i="13" s="1"/>
  <c r="H13" i="13" s="1"/>
  <c r="H11" i="19" l="1"/>
  <c r="I11" i="19" s="1"/>
  <c r="J11" i="19" s="1"/>
  <c r="H12" i="19"/>
  <c r="I12" i="19" s="1"/>
  <c r="J12" i="19" s="1"/>
  <c r="I12" i="12"/>
  <c r="J12" i="12" s="1"/>
  <c r="F14" i="17" s="1"/>
  <c r="G31" i="17"/>
  <c r="R32" i="17"/>
  <c r="H32" i="17"/>
  <c r="I11" i="12"/>
  <c r="J11" i="12" s="1"/>
  <c r="J13" i="19" l="1"/>
  <c r="J52" i="19" s="1"/>
  <c r="J13" i="12"/>
  <c r="F12" i="17"/>
  <c r="G13" i="17"/>
  <c r="R14" i="17"/>
  <c r="T14" i="17" s="1"/>
  <c r="H13" i="17"/>
  <c r="I13" i="17"/>
  <c r="J52" i="12"/>
  <c r="R12" i="17"/>
  <c r="I12" i="17" l="1"/>
  <c r="I36" i="17" s="1"/>
  <c r="G11" i="17"/>
  <c r="F36" i="17"/>
  <c r="S24" i="17"/>
  <c r="T24" i="17" s="1"/>
  <c r="S26" i="17"/>
  <c r="T26" i="17" s="1"/>
  <c r="S36" i="17"/>
  <c r="H12" i="17"/>
  <c r="H36" i="17" s="1"/>
  <c r="H35" i="17" l="1"/>
  <c r="I35" i="17"/>
  <c r="S12" i="17"/>
  <c r="T12" i="17" s="1"/>
  <c r="R36" i="17"/>
  <c r="T36" i="17" s="1"/>
  <c r="G35" i="17" l="1"/>
  <c r="F35" i="17" s="1"/>
  <c r="R35" i="17" l="1"/>
  <c r="S35" i="17"/>
  <c r="T35" i="17" l="1"/>
  <c r="S22" i="17"/>
  <c r="T22" i="17" s="1"/>
  <c r="S32" i="17"/>
  <c r="T32" i="17" s="1"/>
  <c r="S28" i="17"/>
  <c r="T28" i="17" s="1"/>
  <c r="H27" i="17"/>
  <c r="S34" i="17"/>
  <c r="T34" i="17" s="1"/>
  <c r="G33" i="17"/>
  <c r="S30" i="17"/>
  <c r="T30" i="17" s="1"/>
  <c r="H29" i="17"/>
</calcChain>
</file>

<file path=xl/sharedStrings.xml><?xml version="1.0" encoding="utf-8"?>
<sst xmlns="http://schemas.openxmlformats.org/spreadsheetml/2006/main" count="933" uniqueCount="330">
  <si>
    <t>OBRA POR EXECUÇÃO INDIRETA</t>
  </si>
  <si>
    <t>Objeto:</t>
  </si>
  <si>
    <t>BDI:</t>
  </si>
  <si>
    <t>PLANILHA ORÇAMENTÁRIA</t>
  </si>
  <si>
    <t>Item</t>
  </si>
  <si>
    <t>Preço Referência</t>
  </si>
  <si>
    <t>Descrição</t>
  </si>
  <si>
    <t>Qtde.</t>
  </si>
  <si>
    <t>Preço unitário sem BDI</t>
  </si>
  <si>
    <t>Preço unitário com BDI</t>
  </si>
  <si>
    <t>P. Total</t>
  </si>
  <si>
    <t>MEMÓRIA DE CÁLCULO</t>
  </si>
  <si>
    <t>Detalhe</t>
  </si>
  <si>
    <t>Extensão</t>
  </si>
  <si>
    <t>Largura</t>
  </si>
  <si>
    <t>Altura</t>
  </si>
  <si>
    <t>Quantidade</t>
  </si>
  <si>
    <t>Lados</t>
  </si>
  <si>
    <t>Área</t>
  </si>
  <si>
    <t>Total</t>
  </si>
  <si>
    <t>Unidade</t>
  </si>
  <si>
    <t>Coeficiente</t>
  </si>
  <si>
    <t>Custo direto da obra
(com BDI)</t>
  </si>
  <si>
    <t>Custo direto da obra
(sem BDI)</t>
  </si>
  <si>
    <t>Descrição do insumo / serviço</t>
  </si>
  <si>
    <t>Observações: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</si>
  <si>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</si>
  <si>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Setor requisitante: Secretaria Municipal de Obras e Serviços Urbanos</t>
  </si>
  <si>
    <t>Dedução</t>
  </si>
  <si>
    <t>M2</t>
  </si>
  <si>
    <t>M3</t>
  </si>
  <si>
    <t>UN</t>
  </si>
  <si>
    <t>M</t>
  </si>
  <si>
    <t>KG</t>
  </si>
  <si>
    <t>H</t>
  </si>
  <si>
    <t>1.1</t>
  </si>
  <si>
    <t>MOBILIZAÇÃO E DESMOBILIZAÇÃO</t>
  </si>
  <si>
    <t>VB</t>
  </si>
  <si>
    <t>1.2</t>
  </si>
  <si>
    <t>CANTEIRO DE OBRAS</t>
  </si>
  <si>
    <t>IIO-PLA-005</t>
  </si>
  <si>
    <t>COMPOSIÇÃO DE CUSTOS UNITÁRIOS</t>
  </si>
  <si>
    <t>8) Os LICITANTES deverão apresentar composição do BDI utilizado em sua proposta comercial, detalhando cada percentual separadamente (Administração central, seguros, riscos, garantias, despesas financeiras, lucro/remuneração, impostos).  O percentual de ISS deverá seguir a legislação Municipal. A CONTRATANTE realizará retenção do ISS conforme alíquota adotada na composição da empresa vencedora do processo licitatório.</t>
  </si>
  <si>
    <t>7) Caso a Fiscalização Municipal entenda como inviável a execução de algum item previsto nesta planilha, a Prefeitura Municipal reserva-se o direito de realizar supressão total ou parcial do(s) mesmo(s), de acordo com os limites estabelecidos pela Lei nº 8.666/93.</t>
  </si>
  <si>
    <t>6) Os serviços deverão ser executados rigorosamente conforme Planilha Orçamentária, Especificação Técnica e Projetos.</t>
  </si>
  <si>
    <t xml:space="preserve">5) A Contribuição Previdenciária sobre a Receita Bruta (CPRB) - Lei 13.161/2015, desonera a folha de salários de diversas atividades econômicas da construção civil e impacta no cálculo do BDI mediante a majoração do percentual correspondente à 4,5% sobre o preço total da obra, em substituição à contribuição previdenciária patronal de 20% prevista nos encargos sociais. </t>
  </si>
  <si>
    <r>
      <t xml:space="preserve">4) O BDI adotado foi de </t>
    </r>
    <r>
      <rPr>
        <b/>
        <sz val="10.5"/>
        <rFont val="Arial"/>
        <family val="2"/>
      </rPr>
      <t>30,38%,</t>
    </r>
    <r>
      <rPr>
        <sz val="10.5"/>
        <rFont val="Arial"/>
        <family val="2"/>
      </rPr>
      <t xml:space="preserve"> </t>
    </r>
    <r>
      <rPr>
        <b/>
        <sz val="10.5"/>
        <rFont val="Arial"/>
        <family val="2"/>
      </rPr>
      <t>com desoneração</t>
    </r>
    <r>
      <rPr>
        <sz val="10.5"/>
        <rFont val="Arial"/>
        <family val="2"/>
      </rPr>
      <t xml:space="preserve">, conforme Acórdão nº 2622/2013 e Lei 13.161 de 31/08/15. Os percentuais adotados para o cálculo do BDI estão detalhados em planilha anexa.  Conforme legislação tributária Municipal, </t>
    </r>
    <r>
      <rPr>
        <b/>
        <sz val="10.5"/>
        <rFont val="Arial"/>
        <family val="2"/>
      </rPr>
      <t>a base de cálculo do ISS corresponde a 90,00%</t>
    </r>
    <r>
      <rPr>
        <sz val="10.5"/>
        <rFont val="Arial"/>
        <family val="2"/>
      </rPr>
      <t xml:space="preserve"> do valor deste tipo de obra e, sobre esta base, </t>
    </r>
    <r>
      <rPr>
        <b/>
        <sz val="10.5"/>
        <rFont val="Arial"/>
        <family val="2"/>
      </rPr>
      <t>incide ISS com alíquota de 5,00%</t>
    </r>
    <r>
      <rPr>
        <sz val="10.5"/>
        <rFont val="Arial"/>
        <family val="2"/>
      </rPr>
      <t>.</t>
    </r>
  </si>
  <si>
    <r>
      <t xml:space="preserve">3) Os </t>
    </r>
    <r>
      <rPr>
        <b/>
        <sz val="10.5"/>
        <rFont val="Arial"/>
        <family val="2"/>
      </rPr>
      <t>Encargos complementares</t>
    </r>
    <r>
      <rPr>
        <sz val="10.5"/>
        <rFont val="Arial"/>
        <family val="2"/>
      </rPr>
      <t xml:space="preserve"> são custos associados à mão de obra - alimentação, transporte, equipamentos de proteção individual, ferramentas e outros.</t>
    </r>
  </si>
  <si>
    <r>
      <t xml:space="preserve">2) Estão incluídos nos custos de cada item: </t>
    </r>
    <r>
      <rPr>
        <b/>
        <sz val="10.5"/>
        <rFont val="Arial"/>
        <family val="2"/>
      </rPr>
      <t xml:space="preserve">Fornecimento e transporte de todos os materiais e equipamentos + mão de obra + encargos sociais + encargos complementares. </t>
    </r>
    <r>
      <rPr>
        <sz val="10.5"/>
        <rFont val="Arial"/>
        <family val="2"/>
      </rPr>
      <t xml:space="preserve">No preço unitário estão incluidos todos os componentes necessários para execução de cada serviço, mesmo aqueles que embora não citados sejam indispensáveis para o seu desenvolvimento. </t>
    </r>
  </si>
  <si>
    <t>1) Os preços unitários da planilha são referenciais, limites máximos permitidos e correspondem ao custo total de cada serviço. Foram utilizados preços de referência com desoneração, conforme Lei 13.161/2015.</t>
  </si>
  <si>
    <t>Instruções:</t>
  </si>
  <si>
    <t>TOTAL</t>
  </si>
  <si>
    <t>PAVIMENTAÇÃO</t>
  </si>
  <si>
    <t>Área conforme levantamento topográfico</t>
  </si>
  <si>
    <t>CRONOGRAMA FÍSICO / FINANCEIRO</t>
  </si>
  <si>
    <t>ITEM</t>
  </si>
  <si>
    <t>FÍSICO/ FINANCEIRO</t>
  </si>
  <si>
    <t>TOTAL  ETAPAS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</si>
  <si>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</si>
  <si>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</si>
  <si>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</si>
  <si>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</si>
  <si>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</si>
  <si>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</si>
  <si>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</si>
  <si>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</si>
  <si>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</si>
  <si>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</si>
  <si>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Físico %</t>
  </si>
  <si>
    <t>Financeiro</t>
  </si>
  <si>
    <t>IIO-SAN-005</t>
  </si>
  <si>
    <t>ED-16348</t>
  </si>
  <si>
    <t>MÊS</t>
  </si>
  <si>
    <t>DRENAGEM PLUVIAL</t>
  </si>
  <si>
    <t>Escavação mecanizada de vala, com profundidade até 3,00m, largura de 0,8m a 1,5m, em solos de 1ª categoria</t>
  </si>
  <si>
    <t>Escavação mecanizada de vala, com profundidade até 3,00m, largura menor 0,8m em solos de 1ª categoria</t>
  </si>
  <si>
    <t>Tubo de concreto armado PA1, DN 400mm, junta rígida tipo ponta e bolsa, incluindo fornecimento, assentamento e rejuntamento</t>
  </si>
  <si>
    <t>Reaterro de vala com compactação mecânica através de placa vibratória</t>
  </si>
  <si>
    <t>Tubo de concreto armado PA1, DN 600mm, junta rígida tipo ponta e bolsa, incluindo fornecimento, assentamento e rejuntamento</t>
  </si>
  <si>
    <t>DEM-PIS-060</t>
  </si>
  <si>
    <t>Obra de pavimentação - Rua Artur de Araújo</t>
  </si>
  <si>
    <t>Fonte</t>
  </si>
  <si>
    <t>-</t>
  </si>
  <si>
    <t>SETOP
(MAR/2022)</t>
  </si>
  <si>
    <t>ED-16356</t>
  </si>
  <si>
    <t>Ligações provisórias para container tipo 1 (correspondente ao código ED-16348)</t>
  </si>
  <si>
    <t>IIO-CON-005</t>
  </si>
  <si>
    <t>Mobilização e desmobilização de container, inclusive instalação e transporte com caminhão guindauto (munck)</t>
  </si>
  <si>
    <t>ADMINISTRAÇAO LOCAL</t>
  </si>
  <si>
    <t>Encarregado geral com encargos complementares</t>
  </si>
  <si>
    <t>3.1</t>
  </si>
  <si>
    <t>SINALIZAÇÃO</t>
  </si>
  <si>
    <t>IIO-SIN-015</t>
  </si>
  <si>
    <t>01 (um) banheiro químico durante o perído de execução da obra</t>
  </si>
  <si>
    <t>01 (um) container durante o período de execução da obra</t>
  </si>
  <si>
    <t>Ligações provisórias para 01 (um) container durante o período de execução da obra</t>
  </si>
  <si>
    <t>Mobilização de container</t>
  </si>
  <si>
    <t>Desmobilização de container</t>
  </si>
  <si>
    <t>01 (um) responsavel tecnico durante o perído de execução da obra</t>
  </si>
  <si>
    <t>01 (um) encarregado durante o perído de execução da obra</t>
  </si>
  <si>
    <t>Mês</t>
  </si>
  <si>
    <t>Quantidade
(horas/dia)</t>
  </si>
  <si>
    <t>Quantidade
(dia/mês)</t>
  </si>
  <si>
    <t>Quantidade (mês)</t>
  </si>
  <si>
    <t>Auxiliar de topógrafo com encargos complementares</t>
  </si>
  <si>
    <t>01 (um) auxiliar de topografia durante o perído de execução da obra</t>
  </si>
  <si>
    <t>BDI</t>
  </si>
  <si>
    <t>Conforme legislação tributária municipal, definir estimativa de percentual da base de cálculo para o ISS:</t>
  </si>
  <si>
    <t>Sobre a base de cálculo, definir a respectiva alíquota do ISS (entre 2% e 5%):</t>
  </si>
  <si>
    <t>BDI 1</t>
  </si>
  <si>
    <t>TIPO DE OBRA</t>
  </si>
  <si>
    <t>Contrução e Reforma de Edifícios</t>
  </si>
  <si>
    <t>Itens</t>
  </si>
  <si>
    <t>Siglas</t>
  </si>
  <si>
    <t>% Adotado</t>
  </si>
  <si>
    <t>Administração Central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</si>
  <si>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</si>
  <si>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</si>
  <si>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</si>
  <si>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</si>
  <si>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</si>
  <si>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</si>
  <si>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</si>
  <si>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</si>
  <si>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L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</si>
  <si>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</si>
  <si>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</si>
  <si>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</si>
  <si>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</si>
  <si>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</si>
  <si>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</si>
  <si>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 (Fórmula Acórdão TCU)</t>
  </si>
  <si>
    <t>BDI PAD</t>
  </si>
  <si>
    <t>BDI COM desoneração</t>
  </si>
  <si>
    <t>BDI DES</t>
  </si>
  <si>
    <t>Os valores de BDI foram calculados com o emprego da fórmula:</t>
  </si>
  <si>
    <t>Declaro para os devidos fins que, conforme legislação tributária municipal, a base de cálculo deste tipo de obra corresponde à 90%, com a respectiva alíquota de 5%.</t>
  </si>
  <si>
    <t>Declaro para os devidos fins que o regime de Contribuição Previdenciária sobre a Receita Bruta adotado para elaboração do orçamento foi COM Desoneração, e que esta é a alternativa mais adequada para a Administração Pública.</t>
  </si>
  <si>
    <t>4.1</t>
  </si>
  <si>
    <t>Demolição manual de pavimento poliédrica, inclusive afastamento</t>
  </si>
  <si>
    <t>TRA-CAR-010</t>
  </si>
  <si>
    <t>Carga de material de qualquer natureza sobre caminhão basculante, de forma mecanizada</t>
  </si>
  <si>
    <t>M3XKM</t>
  </si>
  <si>
    <t>Quantitade</t>
  </si>
  <si>
    <t>Distância (km)</t>
  </si>
  <si>
    <t>Empolamento</t>
  </si>
  <si>
    <t xml:space="preserve">Carga de pedras poliédricas para transporte até o estoque da Secretaria de Obras </t>
  </si>
  <si>
    <t xml:space="preserve">Transporte de pedras poliédricas até o estoque da Secretaria de Obras </t>
  </si>
  <si>
    <t>Área a ser pavimentada.</t>
  </si>
  <si>
    <t>DEM-MFC-005</t>
  </si>
  <si>
    <t>Remoção de meio-fio pré-moldado de concreto, inclusive carga</t>
  </si>
  <si>
    <t>Demolição de meio fio existente danificado</t>
  </si>
  <si>
    <t>Meio-fio em concreto pré-fabricado Fck ≥ 15MPa, dimensões 80x13x10x35 cm (comprimento x face inferior x face superior x altura), para vias urbanas, inclusive escavação e reaterro</t>
  </si>
  <si>
    <t>Recomposição de meio fio  danificados</t>
  </si>
  <si>
    <t>4.2</t>
  </si>
  <si>
    <t>Conforme projeto</t>
  </si>
  <si>
    <t>Volume</t>
  </si>
  <si>
    <t>DRE-BOC-005</t>
  </si>
  <si>
    <t>U</t>
  </si>
  <si>
    <t>Referência
coeficiente</t>
  </si>
  <si>
    <t>Referência
custo unitário</t>
  </si>
  <si>
    <t>Fonte
custo unitário</t>
  </si>
  <si>
    <t>Custo unitário
(R$)</t>
  </si>
  <si>
    <t>Custo total
(R$)</t>
  </si>
  <si>
    <t>Acréscimo para poço de visita retangular para drenagem, em alvenaria com blocos de concreto, dimensões internas de 1x1 metros.</t>
  </si>
  <si>
    <t>SINAPI
(ABR/2022)</t>
  </si>
  <si>
    <t>ED-48298</t>
  </si>
  <si>
    <t>ED-49811</t>
  </si>
  <si>
    <t>Corte, dobra e montagem de aço CA-50/60</t>
  </si>
  <si>
    <t>Forma e desforma de compensado resinado, espessura 12 mm, reaproveitamento (3X) (fundação)</t>
  </si>
  <si>
    <t>1.3</t>
  </si>
  <si>
    <t>Tampa de concreto armado para caixa de inspeção em alvenaria e=15 cm</t>
  </si>
  <si>
    <t>Boca de lobo simples, dimensões internas de 85x28x100cm (comp. x larg. x alt.) em alvenaria de blocos de concreto, cheios em concreto Fck ≥ 20MPa, sobre lastro de concreto 10cm, incluindo escavação e reaterro compactado, conforme projeto. Inclusive reboco para alvenaria interna, grelha GR 95 ferro fundido, cantoneira e bota fora (Tipo A - ferro fundido)</t>
  </si>
  <si>
    <t>Mobilização</t>
  </si>
  <si>
    <t>Desmobilização</t>
  </si>
  <si>
    <t>Rua Ilídio Clementino Costa</t>
  </si>
  <si>
    <t>Rua Júlia Augusta Pereira</t>
  </si>
  <si>
    <t>Rua Julieta de Araújo</t>
  </si>
  <si>
    <t>Rua Astolpho de Araújo</t>
  </si>
  <si>
    <t>Rua Artur de Araújo com Rua Olinto de Araújo</t>
  </si>
  <si>
    <t>Rua José Mariano Pereira em ambos os lados</t>
  </si>
  <si>
    <t>Placa de sinalização de advertência de obras em ambos os lados da Rua Artur de Araújo</t>
  </si>
  <si>
    <t>Travamento de pavimento com meio fio - Rua José Mariano Pereira</t>
  </si>
  <si>
    <t>Travamento de pavimento com meio fio - Rua Ilídio Clementino Costa</t>
  </si>
  <si>
    <t>Travamento de pavimento com meio fio - Rua Júlia Augusta Pereira</t>
  </si>
  <si>
    <t>Travamento de pavimento com meio fio - Rua Julieta de Araújo</t>
  </si>
  <si>
    <t>Travamento de pavimento com meio fio - Rua Astolpho de Araújo</t>
  </si>
  <si>
    <t>Travamento de pavimento com meio fio - Rua Artur de Araújo com Rua Olinto de Araújo</t>
  </si>
  <si>
    <t>Faixa de travessia de pedestres (FTP-1) "Tipo Zebrada"</t>
  </si>
  <si>
    <t>Sinalização de ondulação transversal "Tipo A"</t>
  </si>
  <si>
    <t>1º Trecho: Rede principal Ø400mm</t>
  </si>
  <si>
    <t>2º Trecho: Rede principal Ø600mm</t>
  </si>
  <si>
    <t>1º Trecho: Ramal BL01&gt;CP5</t>
  </si>
  <si>
    <t>1º Trecho: Ramal BL02&gt;CP5</t>
  </si>
  <si>
    <t>1º Trecho: Ramal BL03&gt;CP5</t>
  </si>
  <si>
    <t>1º Trecho: Ramal BL04&gt;CP5</t>
  </si>
  <si>
    <t>1º Trecho: Ramal BL05&gt;CP4</t>
  </si>
  <si>
    <t>2º Trecho: Ramal BL06&gt;CP3</t>
  </si>
  <si>
    <t>2º Trecho: Ramal BL07&gt;CP3</t>
  </si>
  <si>
    <t>2º Trecho: Ramal BL08&gt;CP3</t>
  </si>
  <si>
    <t>2º Trecho: Ramal BL09&gt;CP3</t>
  </si>
  <si>
    <t>2º Trecho: Ramal BL10&gt;CP2</t>
  </si>
  <si>
    <t>2º Trecho: Ramal BL11&gt;CP2</t>
  </si>
  <si>
    <t>2º Trecho: Ramal BL12&gt;CP2</t>
  </si>
  <si>
    <t>2º Trecho: Ramal BL13&gt;CP2</t>
  </si>
  <si>
    <t>1º Trecho: Ramal Ø400mm BL01&gt;CP5</t>
  </si>
  <si>
    <t>1º Trecho: Ramal Ø400mm BL02&gt;CP5</t>
  </si>
  <si>
    <t>1º Trecho: Ramal Ø400mm BL03&gt;CP5</t>
  </si>
  <si>
    <t>1º Trecho: Ramal Ø400mm BL04&gt;CP5</t>
  </si>
  <si>
    <t>1º Trecho: Ramal Ø400mm BL05&gt;CP4</t>
  </si>
  <si>
    <t>2º Trecho: Ramal Ø400mm BL06&gt;CP3</t>
  </si>
  <si>
    <t>2º Trecho: Ramal Ø400mm BL07&gt;CP3</t>
  </si>
  <si>
    <t>2º Trecho: Ramal Ø400mm BL08&gt;CP3</t>
  </si>
  <si>
    <t>2º Trecho: Ramal Ø400mm BL09&gt;CP3</t>
  </si>
  <si>
    <t>2º Trecho: Ramal Ø400mm BL10&gt;CP2</t>
  </si>
  <si>
    <t>2º Trecho: Ramal Ø400mm BL11&gt;CP2</t>
  </si>
  <si>
    <t>2º Trecho: Ramal Ø400mm BL12&gt;CP2</t>
  </si>
  <si>
    <t>2º Trecho: Ramal Ø400mm BL13&gt;CP2</t>
  </si>
  <si>
    <t>Dedução do volume ocupado pelos tubos</t>
  </si>
  <si>
    <t>Volume de escavação das valas</t>
  </si>
  <si>
    <t>Volume a ser deduzido</t>
  </si>
  <si>
    <t>Total a ser deduzido</t>
  </si>
  <si>
    <t>DN Externo</t>
  </si>
  <si>
    <t>Área
((πxD²)/4)</t>
  </si>
  <si>
    <t>Berço em concreto não estrutural, preparado em obra com betoneira, Fck ≥ 15MPa, inclusive lançamento, adensamento e acabamento</t>
  </si>
  <si>
    <t>Base para caixa de passagem retangular para drenagem, em alvenaria com blocos de concreto, dimensões internas 1m x 1m, profundiade de 1,45 metros, exclui tampão</t>
  </si>
  <si>
    <t>2º Trecho: Rede principal Ø600mm e ramais de Ø400mm</t>
  </si>
  <si>
    <t>1º Trecho: Rede principal Ø400mm e ramais de Ø400mm</t>
  </si>
  <si>
    <t>1º Trecho: CP5</t>
  </si>
  <si>
    <t>1º Trecho: CP4</t>
  </si>
  <si>
    <t>2º Trecho: CP3</t>
  </si>
  <si>
    <t>2º Trecho: CP2</t>
  </si>
  <si>
    <t>2º Trecho: CP1</t>
  </si>
  <si>
    <t>COMPOSIÇÃO</t>
  </si>
  <si>
    <t>Locação de banheiro químico, dimensão (110x120x230)cm, linha padrão, contendo uma (1) pia/higienizador de mãos, inclusive manutenção e mobilização/desmobilização</t>
  </si>
  <si>
    <t>Locação de container com isolamento térmico, tipo 1, para escritório de obra/almoxarifado, com medidas referenciais de (6) metros de comprimentos, (2,3) metros de largura, (2,5) metros de altura útil interna, inclusive ar condicionado e ligações elétricas internas</t>
  </si>
  <si>
    <t>Sinalização horizontal, pintura de faixa de pedestre ou zebrado de preenchimento com tinta acrílica, aplicação manual</t>
  </si>
  <si>
    <t>Pavimentação de via em piso de concreto pré-moldado intertravado sobre camada de assentamento em pó de pedra, espessura de 6 cm, incluindo fornecimento e transporte de todos os materiais</t>
  </si>
  <si>
    <t>Sarjeta em concreto usinado, Fck ≥ 35 MPa, 30cm de base x 10cm de altura, incluindo formas e compactação do terreno</t>
  </si>
  <si>
    <t>ED-49789</t>
  </si>
  <si>
    <r>
      <t xml:space="preserve">Fornecimento de concreto estrutural, preparado em obra com betoneira, com FCK </t>
    </r>
    <r>
      <rPr>
        <sz val="10"/>
        <rFont val="Calibri"/>
        <family val="2"/>
      </rPr>
      <t>≥</t>
    </r>
    <r>
      <rPr>
        <sz val="10"/>
        <rFont val="Arial"/>
        <family val="2"/>
      </rPr>
      <t xml:space="preserve"> 35 MPa, inclusive lançamento, adensamento e acabamento</t>
    </r>
  </si>
  <si>
    <t>Transporte em caminhão basculante de 6m³, em via urbana pavimentada, DMT até  30km</t>
  </si>
  <si>
    <t>SETOP
(ABR/2022)</t>
  </si>
  <si>
    <t>Preparo do fundo de vala com largura menor que 1,5 m</t>
  </si>
  <si>
    <t>SINAPI
(MAR/2022)</t>
  </si>
  <si>
    <t>Cone para sinalização/isolamento de áreas, altura 75 cm, inclusive fornecimento e movimentação</t>
  </si>
  <si>
    <t>Placa de aço carbono com película refletiva grau técnico tipo I da ABNT, placa retangular (execução, incluindo fornecimento e transporte de todos os materiais, inclusive poste de sustentação)</t>
  </si>
  <si>
    <t>RO-42193</t>
  </si>
  <si>
    <t xml:space="preserve">Diego de Souza Marriel Baêta
Engenheiro Civil – CREA 174943/D-MG
</t>
  </si>
  <si>
    <t>OPERAÇÃO</t>
  </si>
  <si>
    <t>920268/2021</t>
  </si>
  <si>
    <t>1079841-34</t>
  </si>
  <si>
    <t>SICONV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</si>
  <si>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</si>
  <si>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</si>
  <si>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</si>
  <si>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</si>
  <si>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</si>
  <si>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</si>
  <si>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</si>
  <si>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</si>
  <si>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</si>
  <si>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Topógrafo com encargos complementares</t>
  </si>
  <si>
    <t>90777</t>
  </si>
  <si>
    <t>90776</t>
  </si>
  <si>
    <t>5.10</t>
  </si>
  <si>
    <t>5.11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</si>
  <si>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</si>
  <si>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</si>
  <si>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</si>
  <si>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</si>
  <si>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</si>
  <si>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</si>
  <si>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</si>
  <si>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</si>
  <si>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</si>
  <si>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Desmobilização de obra - para obras com o valor até R$1.000.000,00 a 2,0% do custo direto da obra</t>
  </si>
  <si>
    <t>Mobilização  - para obras com o valor até R$1.000.000,00 a 2,0% do custo direto da obra (70% DO VALOR)</t>
  </si>
  <si>
    <t>Mobilização  de obra - para obras com o valor até R$1.000.000,00 a 2,0% do custo direto da obra</t>
  </si>
  <si>
    <t>COMP 01</t>
  </si>
  <si>
    <t>Administração local da obra</t>
  </si>
  <si>
    <t>Engenheiro Civil de obras Junior com encargos complementares</t>
  </si>
  <si>
    <t>01 (um) topógrafo durante o perído de execução da obra</t>
  </si>
  <si>
    <t>1.4</t>
  </si>
  <si>
    <t>1º EVENTO - MOBILIZAÇÃO</t>
  </si>
  <si>
    <t>2º EVENTO - DESMOBILIZAÇÃO</t>
  </si>
  <si>
    <t xml:space="preserve">3º EVENTO - ADMINISTRAÇÃO LOCAL </t>
  </si>
  <si>
    <t>4º EVENTO - SINALIZAÇÃO</t>
  </si>
  <si>
    <t>5º EVENTO - EXECUÇÃO DE REDE E RAMAL DE DRENAGEM PLUVIAL</t>
  </si>
  <si>
    <t>6º EVENTO - EXECUÇÃO DE DISPOSITIVOS DE DRENAGEM PLUVIAL</t>
  </si>
  <si>
    <t>7º EVENTO - DEMOLIÇÃO E TRANSPORTE</t>
  </si>
  <si>
    <t>8º EVENTO - MEIO FIO</t>
  </si>
  <si>
    <t>9º EVENTO - SARJETA</t>
  </si>
  <si>
    <t>10º EVENTO - SINALIZAÇÃO HORIZONTAL</t>
  </si>
  <si>
    <t>11º EVENTO - CANTEIRO DE OBRAS</t>
  </si>
  <si>
    <t>12º EVENTO - PAVIMENTAÇÃO DO INTERTRAVADO</t>
  </si>
  <si>
    <t>Evento</t>
  </si>
  <si>
    <t>1</t>
  </si>
  <si>
    <t>2</t>
  </si>
  <si>
    <t>11</t>
  </si>
  <si>
    <t>3</t>
  </si>
  <si>
    <t>4</t>
  </si>
  <si>
    <t>5</t>
  </si>
  <si>
    <t>6</t>
  </si>
  <si>
    <t>7</t>
  </si>
  <si>
    <t>12</t>
  </si>
  <si>
    <t>8</t>
  </si>
  <si>
    <t>9</t>
  </si>
  <si>
    <t>10</t>
  </si>
  <si>
    <t>COMP 002</t>
  </si>
  <si>
    <t>Pavimentação de via em piso de concreto pré-moldado intertravado, tipo Pavi-s - Rua Artur de Araújo, bairro São José - Nova Era/MG              Convênio SICONV Nº 920268/2021, Operação Nº 1079841-34</t>
  </si>
  <si>
    <t>Regularização e compactação de subleito de solo predominantemente argiloso</t>
  </si>
  <si>
    <t>Mobilização  de obra - para obras com o valor até R$1.000.000,00 a 0,5% do custo direto da obra</t>
  </si>
  <si>
    <t>MOB-DES-020</t>
  </si>
  <si>
    <t>Fornecimento e colocação de placa de obra em chapa galvanizada (3,00 x 1,50m) - em chapa galvanizada 0,26 afixadas com rebites 540 e parafusos 3/8, em estrutura metálica viga u 2" enrijecida com metalon 20 x 20, suporte em eucalipto autoclavado pintadas</t>
  </si>
  <si>
    <t>EVENTO</t>
  </si>
  <si>
    <t>30//08/2022</t>
  </si>
  <si>
    <t>MOBILIZAÇÃO</t>
  </si>
  <si>
    <t>DESMOBILIZAÇÃO</t>
  </si>
  <si>
    <t>ADMINISTRAÇÃO LOCAL</t>
  </si>
  <si>
    <t xml:space="preserve">EXECUÇÃO DE REDE E RAMAL DE DRENAGEM PLUVIAL </t>
  </si>
  <si>
    <t xml:space="preserve">EXECUÇÃO DE DISPOSITIVOS DE DRENAGEM PLUVIAL </t>
  </si>
  <si>
    <t>DEMOLIÇÃO E TRANSPORTE</t>
  </si>
  <si>
    <t>MEIO FIO</t>
  </si>
  <si>
    <t>SARJETA</t>
  </si>
  <si>
    <t>SINALIZAÇÃO HORIZONTAL</t>
  </si>
  <si>
    <t>PAVIMENTAÇÃO DE INTERTRAVADO</t>
  </si>
  <si>
    <t>ANEXO X - PLANILHA ORÇAMENTÁRIA</t>
  </si>
  <si>
    <t>ANEXO IX - OBRA POR EXECUÇÃO INDIRETA</t>
  </si>
  <si>
    <t>ANEXO XII - CRONOGRAMA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</si>
</sst>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0\ &quot;%&quot;"/>
    <numFmt numFmtId="166" formatCode="_(* #,##0.00_);_(* \(#,##0.00\);_(* &quot;-&quot;??_);_(@_)"/>
    <numFmt numFmtId="167" formatCode="00"/>
    <numFmt numFmtId="168" formatCode="000"/>
    <numFmt numFmtId="169" formatCode="#,##0.0000000"/>
    <numFmt numFmtId="170" formatCode="#,##0.00;#,##0.00;&quot;-&quot;_-;_-@_-"/>
    <numFmt numFmtId="171" formatCode="_(* #,##0_);_(* \(#,##0\);_(* &quot;-&quot;??_);_(@_)"/>
    <numFmt numFmtId="172" formatCode="#,##0.000"/>
    <numFmt numFmtId="173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10.5"/>
      <name val="Arial"/>
      <family val="2"/>
    </font>
    <font>
      <b/>
      <sz val="10.5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44"/>
      </patternFill>
    </fill>
    <fill>
      <patternFill patternType="solid">
        <fgColor theme="0"/>
        <bgColor indexed="4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36">
    <xf numFmtId="0" fontId="0" fillId="0" borderId="0" xfId="0"/>
    <xf numFmtId="0" fontId="6" fillId="4" borderId="0" xfId="0" applyFont="1" applyFill="1"/>
    <xf numFmtId="2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164" fontId="6" fillId="4" borderId="0" xfId="0" applyNumberFormat="1" applyFont="1" applyFill="1"/>
    <xf numFmtId="4" fontId="4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166" fontId="4" fillId="3" borderId="1" xfId="3" applyFont="1" applyFill="1" applyBorder="1" applyAlignment="1">
      <alignment horizontal="center" vertical="center" wrapText="1"/>
    </xf>
    <xf numFmtId="0" fontId="6" fillId="4" borderId="0" xfId="0" applyFont="1" applyFill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0" fillId="4" borderId="0" xfId="0" applyFill="1"/>
    <xf numFmtId="0" fontId="0" fillId="4" borderId="0" xfId="0" applyFill="1" applyBorder="1" applyAlignment="1">
      <alignment horizontal="center"/>
    </xf>
    <xf numFmtId="16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170" fontId="4" fillId="3" borderId="1" xfId="0" applyNumberFormat="1" applyFont="1" applyFill="1" applyBorder="1" applyAlignment="1">
      <alignment horizontal="center" vertical="center"/>
    </xf>
    <xf numFmtId="10" fontId="13" fillId="3" borderId="13" xfId="2" applyNumberFormat="1" applyFont="1" applyFill="1" applyBorder="1" applyAlignment="1">
      <alignment vertical="center" wrapText="1"/>
    </xf>
    <xf numFmtId="4" fontId="12" fillId="4" borderId="0" xfId="0" applyNumberFormat="1" applyFont="1" applyFill="1" applyAlignment="1">
      <alignment horizontal="center" vertical="center"/>
    </xf>
    <xf numFmtId="49" fontId="14" fillId="2" borderId="1" xfId="2" applyNumberFormat="1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/>
    </xf>
    <xf numFmtId="49" fontId="11" fillId="7" borderId="1" xfId="2" applyNumberFormat="1" applyFont="1" applyFill="1" applyBorder="1" applyAlignment="1">
      <alignment horizontal="center" vertical="center" wrapText="1"/>
    </xf>
    <xf numFmtId="10" fontId="4" fillId="7" borderId="1" xfId="0" applyNumberFormat="1" applyFont="1" applyFill="1" applyBorder="1" applyAlignment="1">
      <alignment horizontal="center" vertical="center"/>
    </xf>
    <xf numFmtId="0" fontId="4" fillId="3" borderId="1" xfId="3" applyNumberFormat="1" applyFont="1" applyFill="1" applyBorder="1" applyAlignment="1">
      <alignment horizontal="justify" vertical="center" wrapText="1"/>
    </xf>
    <xf numFmtId="44" fontId="4" fillId="3" borderId="1" xfId="8" applyFont="1" applyFill="1" applyBorder="1" applyAlignment="1">
      <alignment horizontal="left" vertical="center" wrapText="1"/>
    </xf>
    <xf numFmtId="44" fontId="0" fillId="4" borderId="0" xfId="0" applyNumberFormat="1" applyFill="1" applyBorder="1"/>
    <xf numFmtId="0" fontId="17" fillId="4" borderId="0" xfId="0" applyFont="1" applyFill="1"/>
    <xf numFmtId="49" fontId="7" fillId="3" borderId="1" xfId="3" applyNumberFormat="1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/>
    </xf>
    <xf numFmtId="171" fontId="5" fillId="2" borderId="1" xfId="3" applyNumberFormat="1" applyFont="1" applyFill="1" applyBorder="1" applyAlignment="1">
      <alignment horizontal="center" vertical="center" wrapText="1"/>
    </xf>
    <xf numFmtId="0" fontId="4" fillId="3" borderId="1" xfId="3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3" borderId="1" xfId="9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0" borderId="1" xfId="2" applyFont="1" applyBorder="1" applyAlignment="1" applyProtection="1">
      <alignment horizontal="center" vertical="center"/>
    </xf>
    <xf numFmtId="4" fontId="3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center" vertical="center"/>
    </xf>
    <xf numFmtId="10" fontId="6" fillId="8" borderId="1" xfId="2" applyNumberFormat="1" applyFont="1" applyFill="1" applyBorder="1" applyAlignment="1" applyProtection="1">
      <alignment horizontal="center" vertical="center"/>
      <protection locked="0"/>
    </xf>
    <xf numFmtId="10" fontId="6" fillId="0" borderId="1" xfId="2" applyNumberFormat="1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 wrapText="1"/>
    </xf>
    <xf numFmtId="0" fontId="6" fillId="10" borderId="1" xfId="2" applyFont="1" applyFill="1" applyBorder="1" applyAlignment="1" applyProtection="1">
      <alignment horizontal="center" vertical="center" wrapText="1"/>
    </xf>
    <xf numFmtId="10" fontId="3" fillId="10" borderId="1" xfId="2" applyNumberFormat="1" applyFont="1" applyFill="1" applyBorder="1" applyAlignment="1" applyProtection="1">
      <alignment horizontal="center" vertical="center"/>
    </xf>
    <xf numFmtId="0" fontId="6" fillId="11" borderId="4" xfId="2" applyFont="1" applyFill="1" applyBorder="1" applyAlignment="1" applyProtection="1">
      <alignment horizontal="center" vertical="center" wrapText="1"/>
    </xf>
    <xf numFmtId="0" fontId="6" fillId="11" borderId="2" xfId="2" applyFont="1" applyFill="1" applyBorder="1" applyAlignment="1" applyProtection="1">
      <alignment horizontal="center" vertical="center" wrapText="1"/>
    </xf>
    <xf numFmtId="0" fontId="6" fillId="11" borderId="5" xfId="2" applyFont="1" applyFill="1" applyBorder="1" applyAlignment="1" applyProtection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168" fontId="7" fillId="3" borderId="1" xfId="0" applyNumberFormat="1" applyFont="1" applyFill="1" applyBorder="1" applyAlignment="1">
      <alignment horizontal="center" vertical="center"/>
    </xf>
    <xf numFmtId="10" fontId="12" fillId="4" borderId="0" xfId="4" applyNumberFormat="1" applyFont="1" applyFill="1" applyAlignment="1">
      <alignment horizontal="center" vertical="center"/>
    </xf>
    <xf numFmtId="44" fontId="6" fillId="4" borderId="0" xfId="0" applyNumberFormat="1" applyFont="1" applyFill="1"/>
    <xf numFmtId="2" fontId="6" fillId="4" borderId="0" xfId="0" applyNumberFormat="1" applyFont="1" applyFill="1" applyAlignment="1">
      <alignment horizontal="center" vertical="center"/>
    </xf>
    <xf numFmtId="2" fontId="6" fillId="4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justify" vertical="center" wrapText="1"/>
    </xf>
    <xf numFmtId="0" fontId="5" fillId="12" borderId="1" xfId="0" applyFont="1" applyFill="1" applyBorder="1" applyAlignment="1">
      <alignment horizontal="center" vertical="center"/>
    </xf>
    <xf numFmtId="44" fontId="5" fillId="5" borderId="1" xfId="8" applyFont="1" applyFill="1" applyBorder="1" applyAlignment="1">
      <alignment horizontal="center" vertical="center"/>
    </xf>
    <xf numFmtId="44" fontId="5" fillId="2" borderId="1" xfId="8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172" fontId="4" fillId="3" borderId="1" xfId="0" applyNumberFormat="1" applyFont="1" applyFill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center" vertical="center"/>
    </xf>
    <xf numFmtId="44" fontId="5" fillId="5" borderId="1" xfId="8" applyFont="1" applyFill="1" applyBorder="1" applyAlignment="1">
      <alignment horizontal="left" vertical="center" wrapText="1"/>
    </xf>
    <xf numFmtId="4" fontId="0" fillId="4" borderId="0" xfId="0" applyNumberFormat="1" applyFill="1"/>
    <xf numFmtId="0" fontId="6" fillId="0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12" fillId="4" borderId="3" xfId="0" applyNumberFormat="1" applyFont="1" applyFill="1" applyBorder="1" applyAlignment="1">
      <alignment horizontal="center" vertical="center"/>
    </xf>
    <xf numFmtId="4" fontId="12" fillId="4" borderId="0" xfId="0" applyNumberFormat="1" applyFont="1" applyFill="1" applyBorder="1" applyAlignment="1">
      <alignment horizontal="center" vertical="center"/>
    </xf>
    <xf numFmtId="4" fontId="12" fillId="4" borderId="12" xfId="0" applyNumberFormat="1" applyFont="1" applyFill="1" applyBorder="1" applyAlignment="1">
      <alignment horizontal="center" vertical="center"/>
    </xf>
    <xf numFmtId="0" fontId="0" fillId="4" borderId="3" xfId="0" applyFill="1" applyBorder="1"/>
    <xf numFmtId="10" fontId="12" fillId="4" borderId="12" xfId="4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2" fillId="4" borderId="7" xfId="0" applyNumberFormat="1" applyFont="1" applyFill="1" applyBorder="1" applyAlignment="1">
      <alignment horizontal="center" vertical="center"/>
    </xf>
    <xf numFmtId="4" fontId="12" fillId="4" borderId="8" xfId="0" applyNumberFormat="1" applyFont="1" applyFill="1" applyBorder="1" applyAlignment="1">
      <alignment horizontal="center" vertical="center"/>
    </xf>
    <xf numFmtId="10" fontId="13" fillId="2" borderId="13" xfId="2" applyNumberFormat="1" applyFont="1" applyFill="1" applyBorder="1" applyAlignment="1">
      <alignment vertical="center" wrapText="1"/>
    </xf>
    <xf numFmtId="170" fontId="5" fillId="2" borderId="1" xfId="0" applyNumberFormat="1" applyFont="1" applyFill="1" applyBorder="1" applyAlignment="1">
      <alignment horizontal="center" vertical="center"/>
    </xf>
    <xf numFmtId="10" fontId="13" fillId="2" borderId="14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6" fontId="7" fillId="3" borderId="1" xfId="3" applyFont="1" applyFill="1" applyBorder="1" applyAlignment="1">
      <alignment horizontal="center" vertical="center" wrapText="1"/>
    </xf>
    <xf numFmtId="173" fontId="6" fillId="4" borderId="0" xfId="0" applyNumberFormat="1" applyFont="1" applyFill="1"/>
    <xf numFmtId="173" fontId="6" fillId="4" borderId="0" xfId="0" applyNumberFormat="1" applyFont="1" applyFill="1" applyAlignment="1">
      <alignment horizontal="center" vertical="center"/>
    </xf>
    <xf numFmtId="10" fontId="13" fillId="3" borderId="17" xfId="2" applyNumberFormat="1" applyFont="1" applyFill="1" applyBorder="1" applyAlignment="1">
      <alignment vertical="center" wrapText="1"/>
    </xf>
    <xf numFmtId="10" fontId="13" fillId="3" borderId="14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166" fontId="5" fillId="5" borderId="1" xfId="3" applyFont="1" applyFill="1" applyBorder="1" applyAlignment="1">
      <alignment horizontal="right" vertical="center" wrapText="1"/>
    </xf>
    <xf numFmtId="0" fontId="5" fillId="2" borderId="1" xfId="3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3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0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/>
    </xf>
    <xf numFmtId="2" fontId="18" fillId="0" borderId="5" xfId="0" applyNumberFormat="1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justify" vertical="center"/>
    </xf>
    <xf numFmtId="0" fontId="5" fillId="12" borderId="1" xfId="0" applyFont="1" applyFill="1" applyBorder="1" applyAlignment="1">
      <alignment horizontal="left" vertical="center"/>
    </xf>
    <xf numFmtId="0" fontId="5" fillId="12" borderId="9" xfId="0" applyFont="1" applyFill="1" applyBorder="1" applyAlignment="1">
      <alignment horizontal="center" vertical="center"/>
    </xf>
    <xf numFmtId="0" fontId="5" fillId="12" borderId="10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justify" vertical="center"/>
    </xf>
    <xf numFmtId="0" fontId="4" fillId="3" borderId="2" xfId="0" applyFont="1" applyFill="1" applyBorder="1" applyAlignment="1">
      <alignment horizontal="justify" vertical="center"/>
    </xf>
    <xf numFmtId="0" fontId="4" fillId="3" borderId="5" xfId="0" applyFont="1" applyFill="1" applyBorder="1" applyAlignment="1">
      <alignment horizontal="justify" vertical="center"/>
    </xf>
    <xf numFmtId="0" fontId="4" fillId="3" borderId="6" xfId="0" applyFont="1" applyFill="1" applyBorder="1" applyAlignment="1">
      <alignment horizontal="justify" vertical="center"/>
    </xf>
    <xf numFmtId="0" fontId="4" fillId="3" borderId="7" xfId="0" applyFont="1" applyFill="1" applyBorder="1" applyAlignment="1">
      <alignment horizontal="justify" vertical="center"/>
    </xf>
    <xf numFmtId="0" fontId="4" fillId="3" borderId="8" xfId="0" applyFont="1" applyFill="1" applyBorder="1" applyAlignment="1">
      <alignment horizontal="justify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right" vertical="center"/>
    </xf>
    <xf numFmtId="0" fontId="5" fillId="5" borderId="10" xfId="0" applyFont="1" applyFill="1" applyBorder="1" applyAlignment="1">
      <alignment horizontal="right" vertical="center"/>
    </xf>
    <xf numFmtId="0" fontId="5" fillId="5" borderId="11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horizontal="justify" vertical="center"/>
    </xf>
    <xf numFmtId="0" fontId="4" fillId="3" borderId="10" xfId="0" applyFont="1" applyFill="1" applyBorder="1" applyAlignment="1">
      <alignment horizontal="justify" vertical="center"/>
    </xf>
    <xf numFmtId="0" fontId="4" fillId="3" borderId="11" xfId="0" applyFont="1" applyFill="1" applyBorder="1" applyAlignment="1">
      <alignment horizontal="justify" vertical="center"/>
    </xf>
    <xf numFmtId="0" fontId="2" fillId="3" borderId="1" xfId="1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0" fontId="6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justify" vertical="center"/>
    </xf>
    <xf numFmtId="0" fontId="4" fillId="2" borderId="9" xfId="0" applyFont="1" applyFill="1" applyBorder="1" applyAlignment="1">
      <alignment horizontal="justify" vertical="center"/>
    </xf>
    <xf numFmtId="0" fontId="4" fillId="2" borderId="10" xfId="0" applyFont="1" applyFill="1" applyBorder="1" applyAlignment="1">
      <alignment horizontal="justify" vertical="center"/>
    </xf>
    <xf numFmtId="0" fontId="4" fillId="2" borderId="11" xfId="0" applyFont="1" applyFill="1" applyBorder="1" applyAlignment="1">
      <alignment horizontal="justify" vertical="center"/>
    </xf>
    <xf numFmtId="0" fontId="5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 applyProtection="1">
      <alignment horizontal="justify" vertical="center" wrapText="1"/>
    </xf>
    <xf numFmtId="10" fontId="4" fillId="8" borderId="1" xfId="2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left" vertical="center" wrapText="1"/>
    </xf>
    <xf numFmtId="0" fontId="4" fillId="9" borderId="1" xfId="2" applyFont="1" applyFill="1" applyBorder="1" applyAlignment="1" applyProtection="1">
      <alignment horizontal="left" vertical="center" wrapText="1"/>
    </xf>
    <xf numFmtId="0" fontId="0" fillId="0" borderId="1" xfId="2" applyFont="1" applyBorder="1" applyAlignment="1" applyProtection="1">
      <alignment horizontal="center" vertical="center" wrapText="1"/>
    </xf>
    <xf numFmtId="0" fontId="6" fillId="10" borderId="1" xfId="2" applyFont="1" applyFill="1" applyBorder="1" applyAlignment="1" applyProtection="1">
      <alignment horizontal="center" vertical="center" wrapText="1"/>
    </xf>
    <xf numFmtId="0" fontId="19" fillId="3" borderId="1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4" fillId="3" borderId="9" xfId="2" applyFont="1" applyFill="1" applyBorder="1" applyAlignment="1" applyProtection="1">
      <alignment horizontal="center"/>
    </xf>
    <xf numFmtId="0" fontId="4" fillId="3" borderId="10" xfId="2" applyFont="1" applyFill="1" applyBorder="1" applyAlignment="1" applyProtection="1">
      <alignment horizontal="center"/>
    </xf>
    <xf numFmtId="0" fontId="4" fillId="3" borderId="11" xfId="2" applyFont="1" applyFill="1" applyBorder="1" applyAlignment="1" applyProtection="1">
      <alignment horizontal="center"/>
    </xf>
    <xf numFmtId="0" fontId="4" fillId="3" borderId="9" xfId="2" applyFont="1" applyFill="1" applyBorder="1" applyAlignment="1" applyProtection="1">
      <alignment horizontal="left"/>
    </xf>
    <xf numFmtId="0" fontId="4" fillId="3" borderId="10" xfId="2" applyFont="1" applyFill="1" applyBorder="1" applyAlignment="1" applyProtection="1">
      <alignment horizontal="left"/>
    </xf>
    <xf numFmtId="0" fontId="4" fillId="3" borderId="11" xfId="2" applyFont="1" applyFill="1" applyBorder="1" applyAlignment="1" applyProtection="1">
      <alignment horizontal="left"/>
    </xf>
    <xf numFmtId="49" fontId="0" fillId="8" borderId="1" xfId="2" applyNumberFormat="1" applyFont="1" applyFill="1" applyBorder="1" applyAlignment="1" applyProtection="1">
      <alignment horizontal="center" vertical="top" wrapText="1"/>
      <protection locked="0"/>
    </xf>
    <xf numFmtId="0" fontId="4" fillId="3" borderId="3" xfId="2" applyFont="1" applyFill="1" applyBorder="1" applyAlignment="1" applyProtection="1">
      <alignment horizontal="center" vertical="center"/>
    </xf>
    <xf numFmtId="0" fontId="4" fillId="3" borderId="0" xfId="2" applyFont="1" applyFill="1" applyBorder="1" applyAlignment="1" applyProtection="1">
      <alignment horizontal="center" vertical="center"/>
    </xf>
    <xf numFmtId="0" fontId="4" fillId="3" borderId="12" xfId="2" applyFont="1" applyFill="1" applyBorder="1" applyAlignment="1" applyProtection="1">
      <alignment horizontal="center" vertical="center"/>
    </xf>
    <xf numFmtId="0" fontId="4" fillId="3" borderId="6" xfId="2" applyFont="1" applyFill="1" applyBorder="1" applyAlignment="1" applyProtection="1">
      <alignment horizontal="center" vertical="center"/>
    </xf>
    <xf numFmtId="0" fontId="4" fillId="3" borderId="7" xfId="2" applyFont="1" applyFill="1" applyBorder="1" applyAlignment="1" applyProtection="1">
      <alignment horizontal="center" vertical="center"/>
    </xf>
    <xf numFmtId="0" fontId="4" fillId="3" borderId="8" xfId="2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3" fillId="3" borderId="1" xfId="2" applyFont="1" applyFill="1" applyBorder="1" applyAlignment="1" applyProtection="1">
      <alignment horizontal="center" vertical="center" wrapText="1"/>
    </xf>
    <xf numFmtId="0" fontId="6" fillId="11" borderId="3" xfId="2" applyFont="1" applyFill="1" applyBorder="1" applyAlignment="1" applyProtection="1">
      <alignment horizontal="center" vertical="center" wrapText="1"/>
    </xf>
    <xf numFmtId="0" fontId="6" fillId="11" borderId="0" xfId="2" applyFont="1" applyFill="1" applyBorder="1" applyAlignment="1" applyProtection="1">
      <alignment horizontal="center" vertical="center" wrapText="1"/>
    </xf>
    <xf numFmtId="0" fontId="6" fillId="11" borderId="12" xfId="2" applyFont="1" applyFill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/>
    </xf>
    <xf numFmtId="0" fontId="4" fillId="7" borderId="1" xfId="2" applyFont="1" applyFill="1" applyBorder="1" applyAlignment="1">
      <alignment horizontal="left" vertical="center" wrapText="1"/>
    </xf>
    <xf numFmtId="0" fontId="4" fillId="7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</cellXfs>
  <cellStyles count="10">
    <cellStyle name="Moeda" xfId="8" builtinId="4"/>
    <cellStyle name="Normal" xfId="0" builtinId="0"/>
    <cellStyle name="Normal 2" xfId="2"/>
    <cellStyle name="Normal 3" xfId="7"/>
    <cellStyle name="Porcentagem" xfId="4" builtinId="5"/>
    <cellStyle name="Vírgula" xfId="1" builtinId="3"/>
    <cellStyle name="Vírgula 2" xfId="3"/>
    <cellStyle name="Vírgula 2 2" xfId="9"/>
    <cellStyle name="Vírgula 2 3" xfId="5"/>
    <cellStyle name="Vírgula 3" xfId="6"/>
  </cellStyles>
  <dxfs count="0"/>
  <tableStyles count="0" defaultTableStyle="TableStyleMedium2" defaultPivotStyle="PivotStyleMedium9"/>
  <colors>
    <mruColors>
      <color rgb="FF00FFFF"/>
      <color rgb="FF00FF00"/>
      <color rgb="FF994C00"/>
      <color rgb="FF3F7F7F"/>
      <color rgb="FF7F66CC"/>
      <color rgb="FFFF7F9F"/>
      <color rgb="FF66FF66"/>
      <color rgb="FF0000FF"/>
      <color rgb="FFFF33C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76200</xdr:rowOff>
    </xdr:from>
    <xdr:to>
      <xdr:col>2</xdr:col>
      <xdr:colOff>600075</xdr:colOff>
      <xdr:row>2</xdr:row>
      <xdr:rowOff>142875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0</xdr:row>
      <xdr:rowOff>76200</xdr:rowOff>
    </xdr:from>
    <xdr:to>
      <xdr:col>8</xdr:col>
      <xdr:colOff>552450</xdr:colOff>
      <xdr:row>2</xdr:row>
      <xdr:rowOff>142875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9175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76200</xdr:rowOff>
    </xdr:from>
    <xdr:to>
      <xdr:col>2</xdr:col>
      <xdr:colOff>600075</xdr:colOff>
      <xdr:row>2</xdr:row>
      <xdr:rowOff>142875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0</xdr:row>
      <xdr:rowOff>76200</xdr:rowOff>
    </xdr:from>
    <xdr:to>
      <xdr:col>8</xdr:col>
      <xdr:colOff>552450</xdr:colOff>
      <xdr:row>2</xdr:row>
      <xdr:rowOff>142875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145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962025</xdr:colOff>
      <xdr:row>0</xdr:row>
      <xdr:rowOff>76199</xdr:rowOff>
    </xdr:from>
    <xdr:to>
      <xdr:col>8</xdr:col>
      <xdr:colOff>513750</xdr:colOff>
      <xdr:row>2</xdr:row>
      <xdr:rowOff>143099</xdr:rowOff>
    </xdr:to>
    <xdr:pic>
      <xdr:nvPicPr>
        <xdr:cNvPr id="2" name="Picture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53500" y="76199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0</xdr:row>
      <xdr:rowOff>76200</xdr:rowOff>
    </xdr:from>
    <xdr:to>
      <xdr:col>1</xdr:col>
      <xdr:colOff>999525</xdr:colOff>
      <xdr:row>2</xdr:row>
      <xdr:rowOff>143100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47800" y="76200"/>
          <a:ext cx="532800" cy="4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533400</xdr:colOff>
      <xdr:row>2</xdr:row>
      <xdr:rowOff>142875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0</xdr:row>
      <xdr:rowOff>76200</xdr:rowOff>
    </xdr:from>
    <xdr:to>
      <xdr:col>6</xdr:col>
      <xdr:colOff>552450</xdr:colOff>
      <xdr:row>2</xdr:row>
      <xdr:rowOff>142875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76201</xdr:rowOff>
    </xdr:from>
    <xdr:to>
      <xdr:col>8</xdr:col>
      <xdr:colOff>904875</xdr:colOff>
      <xdr:row>2</xdr:row>
      <xdr:rowOff>171451</xdr:rowOff>
    </xdr:to>
    <xdr:pic>
      <xdr:nvPicPr>
        <xdr:cNvPr id="2" name="Picture 56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76201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600075</xdr:colOff>
      <xdr:row>0</xdr:row>
      <xdr:rowOff>57151</xdr:rowOff>
    </xdr:from>
    <xdr:to>
      <xdr:col>1</xdr:col>
      <xdr:colOff>142875</xdr:colOff>
      <xdr:row>2</xdr:row>
      <xdr:rowOff>152401</xdr:rowOff>
    </xdr:to>
    <xdr:pic>
      <xdr:nvPicPr>
        <xdr:cNvPr id="3" name="Imagem 2"/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57151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9525</xdr:colOff>
      <xdr:row>32</xdr:row>
      <xdr:rowOff>38100</xdr:rowOff>
    </xdr:from>
    <xdr:ext cx="10782300" cy="3524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/>
            <xdr:cNvSpPr txBox="1"/>
          </xdr:nvSpPr>
          <xdr:spPr>
            <a:xfrm>
              <a:off x="9525" y="6743700"/>
              <a:ext cx="10782300" cy="3524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100" b="0" i="1">
                        <a:latin typeface="Cambria Math" panose="02040503050406030204" pitchFamily="18" charset="0"/>
                      </a:rPr>
                      <m:t>𝐵𝐷𝐼</m:t>
                    </m:r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𝐴𝐶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𝑆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𝑅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𝐺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)×(1+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𝐷𝐹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)×(1+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𝐿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(1−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𝐶𝑃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𝐼𝑆𝑆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𝐶𝑅𝑃𝐵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</m:t>
                        </m:r>
                      </m:den>
                    </m:f>
                    <m:r>
                      <a:rPr lang="pt-B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−1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>
              <a:off x="9525" y="6743700"/>
              <a:ext cx="10782300" cy="3524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𝐵𝐷𝐼</a:t>
              </a:r>
              <a:r>
                <a:rPr lang="pt-B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=((1+𝐴𝐶+𝑆+𝑅+𝐺)×(1+𝐷𝐹)×(1+𝐿))/((1−𝐶𝑃−𝐼𝑆𝑆−𝐶𝑅𝑃𝐵))−1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0</xdr:row>
      <xdr:rowOff>76200</xdr:rowOff>
    </xdr:from>
    <xdr:to>
      <xdr:col>1</xdr:col>
      <xdr:colOff>1352550</xdr:colOff>
      <xdr:row>2</xdr:row>
      <xdr:rowOff>142875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333375</xdr:colOff>
      <xdr:row>0</xdr:row>
      <xdr:rowOff>66675</xdr:rowOff>
    </xdr:from>
    <xdr:to>
      <xdr:col>14</xdr:col>
      <xdr:colOff>85725</xdr:colOff>
      <xdr:row>2</xdr:row>
      <xdr:rowOff>133350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66675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RAS/&#8226;%20VIGENTES/INDIRETA/PAV.%20-%20RUA%20ITABIRA/02%20-%20PLANILHA%20OR&#199;AMENT&#193;RIA/Planilha%20Or&#231;ament&#225;ria%20-%20Pavimenta&#231;&#227;o%20Rua%20Itabira%20-%20Rev.12%20L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orçamentária"/>
      <sheetName val="Memória de cálculo"/>
      <sheetName val="Composição"/>
      <sheetName val="Memória de cálculo - Composição"/>
      <sheetName val="BDI"/>
      <sheetName val="Cronograma"/>
    </sheetNames>
    <sheetDataSet>
      <sheetData sheetId="0">
        <row r="4">
          <cell r="A4" t="str">
            <v>OBRA POR EXECUÇÃO INDIRETA</v>
          </cell>
        </row>
        <row r="5">
          <cell r="A5" t="str">
            <v>Setor requisitante: Secretaria Municipal de Obras e Serviços Urbanos</v>
          </cell>
        </row>
        <row r="6">
          <cell r="A6" t="str">
            <v>Objeto: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view="pageBreakPreview" zoomScaleNormal="100" zoomScaleSheetLayoutView="100" workbookViewId="0">
      <selection activeCell="E18" sqref="E18"/>
    </sheetView>
  </sheetViews>
  <sheetFormatPr defaultRowHeight="16.5" customHeight="1" x14ac:dyDescent="0.25"/>
  <cols>
    <col min="1" max="1" width="7.85546875" style="14" customWidth="1"/>
    <col min="2" max="4" width="12.7109375" style="12" customWidth="1"/>
    <col min="5" max="5" width="100" style="12" customWidth="1"/>
    <col min="6" max="7" width="12.7109375" style="12" customWidth="1"/>
    <col min="8" max="17" width="15" style="12" customWidth="1"/>
    <col min="18" max="16384" width="9.140625" style="12"/>
  </cols>
  <sheetData>
    <row r="1" spans="1:18" s="1" customFormat="1" ht="16.5" customHeight="1" x14ac:dyDescent="0.25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L1" s="7"/>
      <c r="R1" s="14">
        <v>1</v>
      </c>
    </row>
    <row r="2" spans="1:18" s="1" customFormat="1" ht="16.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L2" s="7"/>
      <c r="R2" s="14">
        <v>2</v>
      </c>
    </row>
    <row r="3" spans="1:18" s="1" customFormat="1" ht="16.5" customHeigh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  <c r="L3" s="7"/>
      <c r="R3" s="14">
        <v>3</v>
      </c>
    </row>
    <row r="4" spans="1:18" s="1" customFormat="1" ht="16.5" customHeight="1" x14ac:dyDescent="0.25">
      <c r="A4" s="108" t="s">
        <v>0</v>
      </c>
      <c r="B4" s="108"/>
      <c r="C4" s="108"/>
      <c r="D4" s="108"/>
      <c r="E4" s="108"/>
      <c r="F4" s="108"/>
      <c r="G4" s="108"/>
      <c r="H4" s="108"/>
      <c r="I4" s="108"/>
      <c r="J4" s="108"/>
      <c r="L4" s="7"/>
      <c r="R4" s="14">
        <v>4</v>
      </c>
    </row>
    <row r="5" spans="1:18" s="1" customFormat="1" ht="16.5" customHeight="1" x14ac:dyDescent="0.25">
      <c r="A5" s="110" t="s">
        <v>27</v>
      </c>
      <c r="B5" s="110"/>
      <c r="C5" s="110"/>
      <c r="D5" s="110"/>
      <c r="E5" s="110"/>
      <c r="F5" s="110"/>
      <c r="G5" s="110"/>
      <c r="H5" s="110"/>
      <c r="I5" s="110"/>
      <c r="J5" s="110"/>
      <c r="L5" s="7"/>
      <c r="R5" s="14">
        <v>5</v>
      </c>
    </row>
    <row r="6" spans="1:18" s="1" customFormat="1" ht="16.5" customHeight="1" x14ac:dyDescent="0.25">
      <c r="A6" s="111" t="s">
        <v>1</v>
      </c>
      <c r="B6" s="111"/>
      <c r="C6" s="112" t="s">
        <v>310</v>
      </c>
      <c r="D6" s="113"/>
      <c r="E6" s="113"/>
      <c r="F6" s="113"/>
      <c r="G6" s="114"/>
      <c r="H6" s="118" t="s">
        <v>2</v>
      </c>
      <c r="I6" s="119">
        <f>BDI!J28</f>
        <v>0.30380000000000001</v>
      </c>
      <c r="J6" s="120" t="s">
        <v>316</v>
      </c>
      <c r="L6" s="7"/>
      <c r="R6" s="14">
        <v>6</v>
      </c>
    </row>
    <row r="7" spans="1:18" s="1" customFormat="1" ht="16.5" customHeight="1" x14ac:dyDescent="0.25">
      <c r="A7" s="111"/>
      <c r="B7" s="111"/>
      <c r="C7" s="115"/>
      <c r="D7" s="116"/>
      <c r="E7" s="116"/>
      <c r="F7" s="116"/>
      <c r="G7" s="117"/>
      <c r="H7" s="118"/>
      <c r="I7" s="119"/>
      <c r="J7" s="120"/>
      <c r="K7" s="4"/>
      <c r="L7" s="7"/>
      <c r="R7" s="14">
        <v>7</v>
      </c>
    </row>
    <row r="8" spans="1:18" s="1" customFormat="1" ht="16.5" customHeight="1" x14ac:dyDescent="0.25">
      <c r="A8" s="108" t="s">
        <v>327</v>
      </c>
      <c r="B8" s="108"/>
      <c r="C8" s="108"/>
      <c r="D8" s="108"/>
      <c r="E8" s="108"/>
      <c r="F8" s="108"/>
      <c r="G8" s="108"/>
      <c r="H8" s="108"/>
      <c r="I8" s="108"/>
      <c r="J8" s="108"/>
      <c r="L8" s="7"/>
      <c r="R8" s="14">
        <v>8</v>
      </c>
    </row>
    <row r="9" spans="1:18" s="1" customFormat="1" ht="25.5" customHeight="1" x14ac:dyDescent="0.25">
      <c r="A9" s="10" t="s">
        <v>4</v>
      </c>
      <c r="B9" s="11" t="s">
        <v>5</v>
      </c>
      <c r="C9" s="11" t="s">
        <v>81</v>
      </c>
      <c r="D9" s="11" t="s">
        <v>296</v>
      </c>
      <c r="E9" s="10" t="s">
        <v>6</v>
      </c>
      <c r="F9" s="2" t="s">
        <v>7</v>
      </c>
      <c r="G9" s="10" t="s">
        <v>20</v>
      </c>
      <c r="H9" s="3" t="s">
        <v>8</v>
      </c>
      <c r="I9" s="3" t="s">
        <v>9</v>
      </c>
      <c r="J9" s="6" t="s">
        <v>10</v>
      </c>
      <c r="L9" s="7"/>
      <c r="R9" s="14">
        <v>9</v>
      </c>
    </row>
    <row r="10" spans="1:18" s="1" customFormat="1" ht="16.5" customHeight="1" x14ac:dyDescent="0.25">
      <c r="A10" s="93">
        <v>1</v>
      </c>
      <c r="B10" s="93" t="s">
        <v>82</v>
      </c>
      <c r="C10" s="93" t="s">
        <v>82</v>
      </c>
      <c r="D10" s="93"/>
      <c r="E10" s="107" t="s">
        <v>36</v>
      </c>
      <c r="F10" s="107"/>
      <c r="G10" s="107"/>
      <c r="H10" s="107"/>
      <c r="I10" s="107"/>
      <c r="J10" s="107"/>
      <c r="L10" s="7"/>
      <c r="R10" s="14">
        <v>11</v>
      </c>
    </row>
    <row r="11" spans="1:18" s="1" customFormat="1" ht="25.5" customHeight="1" x14ac:dyDescent="0.25">
      <c r="A11" s="16" t="str">
        <f>$A$10&amp;"."&amp;R1</f>
        <v>1.1</v>
      </c>
      <c r="B11" s="88" t="s">
        <v>313</v>
      </c>
      <c r="C11" s="32" t="s">
        <v>242</v>
      </c>
      <c r="D11" s="32" t="s">
        <v>297</v>
      </c>
      <c r="E11" s="28" t="s">
        <v>312</v>
      </c>
      <c r="F11" s="53">
        <f>'Mem. Cálc. - P.O'!J18</f>
        <v>0.7</v>
      </c>
      <c r="G11" s="8" t="s">
        <v>37</v>
      </c>
      <c r="H11" s="29">
        <f>'Mem. Cálc. - P.O'!H13</f>
        <v>0</v>
      </c>
      <c r="I11" s="29">
        <f>H11+H11*I6</f>
        <v>0</v>
      </c>
      <c r="J11" s="29">
        <f>F11*I11</f>
        <v>0</v>
      </c>
      <c r="L11" s="59"/>
      <c r="R11" s="14">
        <v>12</v>
      </c>
    </row>
    <row r="12" spans="1:18" s="1" customFormat="1" ht="25.5" customHeight="1" x14ac:dyDescent="0.25">
      <c r="A12" s="16" t="str">
        <f>$A$10&amp;"."&amp;R2</f>
        <v>1.2</v>
      </c>
      <c r="B12" s="88" t="s">
        <v>313</v>
      </c>
      <c r="C12" s="32" t="s">
        <v>242</v>
      </c>
      <c r="D12" s="32" t="s">
        <v>298</v>
      </c>
      <c r="E12" s="28" t="s">
        <v>276</v>
      </c>
      <c r="F12" s="53">
        <f>'Mem. Cálc. - P.O'!J23</f>
        <v>0.3</v>
      </c>
      <c r="G12" s="8" t="s">
        <v>37</v>
      </c>
      <c r="H12" s="29">
        <f>'Mem. Cálc. - P.O'!H13</f>
        <v>0</v>
      </c>
      <c r="I12" s="29">
        <f>H12+H12*I6</f>
        <v>0</v>
      </c>
      <c r="J12" s="29">
        <f>F12*I12</f>
        <v>0</v>
      </c>
      <c r="L12" s="59"/>
      <c r="R12" s="14"/>
    </row>
    <row r="13" spans="1:18" s="1" customFormat="1" ht="16.5" customHeight="1" x14ac:dyDescent="0.25">
      <c r="A13" s="100" t="str">
        <f>"TOTAL (Item "&amp;A10&amp;"):"</f>
        <v>TOTAL (Item 1):</v>
      </c>
      <c r="B13" s="100"/>
      <c r="C13" s="100"/>
      <c r="D13" s="100"/>
      <c r="E13" s="100"/>
      <c r="F13" s="100"/>
      <c r="G13" s="100"/>
      <c r="H13" s="100"/>
      <c r="I13" s="100"/>
      <c r="J13" s="65">
        <f>SUM(J11:J12)</f>
        <v>0</v>
      </c>
      <c r="L13" s="59"/>
      <c r="M13" s="60"/>
      <c r="R13" s="14">
        <v>13</v>
      </c>
    </row>
    <row r="14" spans="1:18" s="1" customFormat="1" ht="16.5" customHeight="1" x14ac:dyDescent="0.25">
      <c r="A14" s="93">
        <v>2</v>
      </c>
      <c r="B14" s="93"/>
      <c r="C14" s="93"/>
      <c r="D14" s="93"/>
      <c r="E14" s="107" t="s">
        <v>39</v>
      </c>
      <c r="F14" s="107"/>
      <c r="G14" s="107"/>
      <c r="H14" s="107"/>
      <c r="I14" s="107"/>
      <c r="J14" s="107"/>
      <c r="L14" s="59"/>
      <c r="M14" s="60"/>
      <c r="R14" s="14">
        <v>14</v>
      </c>
    </row>
    <row r="15" spans="1:18" s="1" customFormat="1" ht="38.25" customHeight="1" x14ac:dyDescent="0.25">
      <c r="A15" s="16" t="str">
        <f>$A$14&amp;"."&amp;R1</f>
        <v>2.1</v>
      </c>
      <c r="B15" s="88" t="s">
        <v>40</v>
      </c>
      <c r="C15" s="32" t="s">
        <v>242</v>
      </c>
      <c r="D15" s="32" t="s">
        <v>299</v>
      </c>
      <c r="E15" s="28" t="s">
        <v>314</v>
      </c>
      <c r="F15" s="53">
        <f>'Mem. Cálc. - P.O'!J217</f>
        <v>1</v>
      </c>
      <c r="G15" s="8" t="s">
        <v>31</v>
      </c>
      <c r="H15" s="29">
        <v>1224.69</v>
      </c>
      <c r="I15" s="29">
        <f>(H15+(H15*$I$6))</f>
        <v>1596.75</v>
      </c>
      <c r="J15" s="29">
        <f t="shared" ref="J15:J19" si="0">F15*I15</f>
        <v>1596.75</v>
      </c>
      <c r="L15" s="59"/>
      <c r="R15" s="14">
        <v>15</v>
      </c>
    </row>
    <row r="16" spans="1:18" s="1" customFormat="1" ht="25.5" customHeight="1" x14ac:dyDescent="0.25">
      <c r="A16" s="16" t="str">
        <f>$A$14&amp;"."&amp;R2</f>
        <v>2.2</v>
      </c>
      <c r="B16" s="88" t="s">
        <v>70</v>
      </c>
      <c r="C16" s="32" t="s">
        <v>242</v>
      </c>
      <c r="D16" s="32" t="s">
        <v>299</v>
      </c>
      <c r="E16" s="28" t="s">
        <v>234</v>
      </c>
      <c r="F16" s="53">
        <f>'Mem. Cálc. - P.O'!J221</f>
        <v>3</v>
      </c>
      <c r="G16" s="8" t="s">
        <v>72</v>
      </c>
      <c r="H16" s="29">
        <v>800</v>
      </c>
      <c r="I16" s="29">
        <f t="shared" ref="I16:I19" si="1">(H16+(H16*$I$6))</f>
        <v>1043.04</v>
      </c>
      <c r="J16" s="29">
        <f t="shared" si="0"/>
        <v>3129.12</v>
      </c>
      <c r="L16" s="7"/>
      <c r="O16" s="1">
        <f>M16*N16</f>
        <v>0</v>
      </c>
      <c r="R16" s="14"/>
    </row>
    <row r="17" spans="1:18" s="1" customFormat="1" ht="38.25" customHeight="1" x14ac:dyDescent="0.25">
      <c r="A17" s="16" t="str">
        <f>$A$14&amp;"."&amp;R3</f>
        <v>2.3</v>
      </c>
      <c r="B17" s="88" t="s">
        <v>71</v>
      </c>
      <c r="C17" s="32" t="s">
        <v>242</v>
      </c>
      <c r="D17" s="32" t="s">
        <v>299</v>
      </c>
      <c r="E17" s="28" t="s">
        <v>235</v>
      </c>
      <c r="F17" s="53">
        <f>'Mem. Cálc. - P.O'!J225</f>
        <v>3</v>
      </c>
      <c r="G17" s="8" t="s">
        <v>72</v>
      </c>
      <c r="H17" s="29">
        <v>681.13</v>
      </c>
      <c r="I17" s="29">
        <f t="shared" si="1"/>
        <v>888.06</v>
      </c>
      <c r="J17" s="29">
        <f t="shared" si="0"/>
        <v>2664.18</v>
      </c>
      <c r="L17" s="7"/>
      <c r="O17" s="1">
        <f>M17*N17</f>
        <v>0</v>
      </c>
      <c r="R17" s="14"/>
    </row>
    <row r="18" spans="1:18" s="1" customFormat="1" ht="25.5" customHeight="1" x14ac:dyDescent="0.25">
      <c r="A18" s="16" t="str">
        <f>$A$14&amp;"."&amp;R4</f>
        <v>2.4</v>
      </c>
      <c r="B18" s="88" t="s">
        <v>84</v>
      </c>
      <c r="C18" s="32" t="s">
        <v>242</v>
      </c>
      <c r="D18" s="32" t="s">
        <v>299</v>
      </c>
      <c r="E18" s="28" t="s">
        <v>85</v>
      </c>
      <c r="F18" s="53">
        <f>'Mem. Cálc. - P.O'!J229</f>
        <v>1</v>
      </c>
      <c r="G18" s="8" t="s">
        <v>31</v>
      </c>
      <c r="H18" s="29">
        <v>312.5</v>
      </c>
      <c r="I18" s="29">
        <f t="shared" si="1"/>
        <v>407.44</v>
      </c>
      <c r="J18" s="29">
        <f t="shared" si="0"/>
        <v>407.44</v>
      </c>
      <c r="L18" s="90"/>
      <c r="M18" s="89"/>
      <c r="O18" s="60">
        <f>SUM(O16:O17)</f>
        <v>0</v>
      </c>
      <c r="R18" s="14"/>
    </row>
    <row r="19" spans="1:18" s="1" customFormat="1" ht="25.5" customHeight="1" x14ac:dyDescent="0.25">
      <c r="A19" s="16" t="str">
        <f>$A$14&amp;"."&amp;R5</f>
        <v>2.5</v>
      </c>
      <c r="B19" s="88" t="s">
        <v>86</v>
      </c>
      <c r="C19" s="32" t="s">
        <v>242</v>
      </c>
      <c r="D19" s="32" t="s">
        <v>299</v>
      </c>
      <c r="E19" s="28" t="s">
        <v>87</v>
      </c>
      <c r="F19" s="53">
        <f>'Mem. Cálc. - P.O'!J234</f>
        <v>1</v>
      </c>
      <c r="G19" s="8" t="s">
        <v>31</v>
      </c>
      <c r="H19" s="29">
        <v>700.55</v>
      </c>
      <c r="I19" s="29">
        <f t="shared" si="1"/>
        <v>913.38</v>
      </c>
      <c r="J19" s="29">
        <f t="shared" si="0"/>
        <v>913.38</v>
      </c>
      <c r="L19" s="7"/>
      <c r="R19" s="14"/>
    </row>
    <row r="20" spans="1:18" s="1" customFormat="1" ht="16.5" customHeight="1" x14ac:dyDescent="0.25">
      <c r="A20" s="100" t="str">
        <f>"TOTAL (Item "&amp;A14&amp;"):"</f>
        <v>TOTAL (Item 2):</v>
      </c>
      <c r="B20" s="100"/>
      <c r="C20" s="100"/>
      <c r="D20" s="100"/>
      <c r="E20" s="100"/>
      <c r="F20" s="100"/>
      <c r="G20" s="100"/>
      <c r="H20" s="100"/>
      <c r="I20" s="100"/>
      <c r="J20" s="65">
        <f>SUM(J15:J19)</f>
        <v>8710.8700000000008</v>
      </c>
      <c r="L20" s="7"/>
      <c r="R20" s="14">
        <v>16</v>
      </c>
    </row>
    <row r="21" spans="1:18" s="1" customFormat="1" ht="16.5" customHeight="1" x14ac:dyDescent="0.25">
      <c r="A21" s="33">
        <v>3</v>
      </c>
      <c r="B21" s="34" t="s">
        <v>82</v>
      </c>
      <c r="C21" s="34"/>
      <c r="D21" s="34"/>
      <c r="E21" s="106" t="s">
        <v>88</v>
      </c>
      <c r="F21" s="106"/>
      <c r="G21" s="106"/>
      <c r="H21" s="106"/>
      <c r="I21" s="106"/>
      <c r="J21" s="106"/>
      <c r="L21" s="7"/>
      <c r="M21" s="31"/>
      <c r="N21" s="31"/>
      <c r="R21" s="14"/>
    </row>
    <row r="22" spans="1:18" s="1" customFormat="1" ht="25.5" customHeight="1" x14ac:dyDescent="0.25">
      <c r="A22" s="35" t="s">
        <v>90</v>
      </c>
      <c r="B22" s="32" t="s">
        <v>279</v>
      </c>
      <c r="C22" s="32" t="s">
        <v>233</v>
      </c>
      <c r="D22" s="32" t="s">
        <v>300</v>
      </c>
      <c r="E22" s="28" t="s">
        <v>280</v>
      </c>
      <c r="F22" s="53">
        <v>1</v>
      </c>
      <c r="G22" s="8" t="s">
        <v>31</v>
      </c>
      <c r="H22" s="29">
        <f>'C.P.U.'!H15</f>
        <v>14004.87</v>
      </c>
      <c r="I22" s="29">
        <f>(H22+(H22*$I$6))</f>
        <v>18259.55</v>
      </c>
      <c r="J22" s="29">
        <f t="shared" ref="J22" si="2">F22*I22</f>
        <v>18259.55</v>
      </c>
      <c r="L22" s="7"/>
      <c r="M22" s="31"/>
      <c r="N22" s="31"/>
      <c r="R22" s="14"/>
    </row>
    <row r="23" spans="1:18" s="1" customFormat="1" ht="16.5" customHeight="1" x14ac:dyDescent="0.25">
      <c r="A23" s="105" t="str">
        <f>"TOTAL (Item "&amp;A21&amp;")"</f>
        <v>TOTAL (Item 3)</v>
      </c>
      <c r="B23" s="105"/>
      <c r="C23" s="105"/>
      <c r="D23" s="105"/>
      <c r="E23" s="105"/>
      <c r="F23" s="105"/>
      <c r="G23" s="105"/>
      <c r="H23" s="105"/>
      <c r="I23" s="105"/>
      <c r="J23" s="36">
        <f>SUM(J22:J22)</f>
        <v>18259.55</v>
      </c>
      <c r="L23" s="7"/>
      <c r="M23" s="31"/>
      <c r="N23" s="31"/>
      <c r="R23" s="14"/>
    </row>
    <row r="24" spans="1:18" s="1" customFormat="1" ht="16.5" customHeight="1" x14ac:dyDescent="0.25">
      <c r="A24" s="33">
        <v>4</v>
      </c>
      <c r="B24" s="34" t="s">
        <v>82</v>
      </c>
      <c r="C24" s="34"/>
      <c r="D24" s="34"/>
      <c r="E24" s="106" t="s">
        <v>91</v>
      </c>
      <c r="F24" s="106"/>
      <c r="G24" s="106"/>
      <c r="H24" s="106"/>
      <c r="I24" s="106"/>
      <c r="J24" s="106"/>
      <c r="L24" s="7"/>
      <c r="M24" s="31"/>
      <c r="N24" s="31"/>
      <c r="R24" s="14"/>
    </row>
    <row r="25" spans="1:18" s="1" customFormat="1" ht="25.5" customHeight="1" x14ac:dyDescent="0.25">
      <c r="A25" s="35" t="s">
        <v>138</v>
      </c>
      <c r="B25" s="88" t="s">
        <v>247</v>
      </c>
      <c r="C25" s="32" t="s">
        <v>242</v>
      </c>
      <c r="D25" s="32" t="s">
        <v>301</v>
      </c>
      <c r="E25" s="28" t="s">
        <v>246</v>
      </c>
      <c r="F25" s="53">
        <f>'Mem. Cálc. - P.O'!J46</f>
        <v>1.76</v>
      </c>
      <c r="G25" s="8" t="s">
        <v>29</v>
      </c>
      <c r="H25" s="29">
        <v>452.25</v>
      </c>
      <c r="I25" s="29">
        <f>(H25+(H25*$I$6))</f>
        <v>589.64</v>
      </c>
      <c r="J25" s="29">
        <f t="shared" ref="J25:J26" si="3">F25*I25</f>
        <v>1037.77</v>
      </c>
      <c r="K25" s="58"/>
      <c r="L25" s="7"/>
      <c r="M25" s="31"/>
      <c r="N25" s="31"/>
      <c r="R25" s="14"/>
    </row>
    <row r="26" spans="1:18" s="1" customFormat="1" ht="25.5" customHeight="1" x14ac:dyDescent="0.25">
      <c r="A26" s="35" t="s">
        <v>154</v>
      </c>
      <c r="B26" s="88" t="s">
        <v>92</v>
      </c>
      <c r="C26" s="32" t="s">
        <v>242</v>
      </c>
      <c r="D26" s="32" t="s">
        <v>301</v>
      </c>
      <c r="E26" s="28" t="s">
        <v>245</v>
      </c>
      <c r="F26" s="53">
        <f>'Mem. Cálc. - P.O'!J57</f>
        <v>46</v>
      </c>
      <c r="G26" s="8" t="s">
        <v>31</v>
      </c>
      <c r="H26" s="29">
        <v>37.85</v>
      </c>
      <c r="I26" s="29">
        <f>(H26+(H26*$I$6))</f>
        <v>49.35</v>
      </c>
      <c r="J26" s="29">
        <f t="shared" si="3"/>
        <v>2270.1</v>
      </c>
      <c r="L26" s="7"/>
      <c r="M26" s="31"/>
      <c r="N26" s="31"/>
      <c r="R26" s="14"/>
    </row>
    <row r="27" spans="1:18" s="1" customFormat="1" ht="16.5" customHeight="1" x14ac:dyDescent="0.25">
      <c r="A27" s="105" t="str">
        <f>"TOTAL (Item "&amp;A24&amp;")"</f>
        <v>TOTAL (Item 4)</v>
      </c>
      <c r="B27" s="105"/>
      <c r="C27" s="105"/>
      <c r="D27" s="105"/>
      <c r="E27" s="105"/>
      <c r="F27" s="105"/>
      <c r="G27" s="105"/>
      <c r="H27" s="105"/>
      <c r="I27" s="105"/>
      <c r="J27" s="36">
        <f>SUM(J25:J26)</f>
        <v>3307.87</v>
      </c>
      <c r="L27" s="7"/>
      <c r="M27" s="31"/>
      <c r="N27" s="31"/>
      <c r="R27" s="14"/>
    </row>
    <row r="28" spans="1:18" ht="16.5" customHeight="1" x14ac:dyDescent="0.25">
      <c r="A28" s="93">
        <v>5</v>
      </c>
      <c r="B28" s="93"/>
      <c r="C28" s="93"/>
      <c r="D28" s="93"/>
      <c r="E28" s="107" t="s">
        <v>73</v>
      </c>
      <c r="F28" s="107"/>
      <c r="G28" s="107"/>
      <c r="H28" s="107"/>
      <c r="I28" s="107"/>
      <c r="J28" s="107"/>
    </row>
    <row r="29" spans="1:18" ht="25.5" customHeight="1" x14ac:dyDescent="0.25">
      <c r="A29" s="35" t="s">
        <v>253</v>
      </c>
      <c r="B29" s="52">
        <v>90107</v>
      </c>
      <c r="C29" s="32" t="s">
        <v>165</v>
      </c>
      <c r="D29" s="32" t="s">
        <v>302</v>
      </c>
      <c r="E29" s="28" t="s">
        <v>75</v>
      </c>
      <c r="F29" s="53">
        <f>'Mem. Cálc. - P.O'!J75</f>
        <v>134.36000000000001</v>
      </c>
      <c r="G29" s="8" t="s">
        <v>30</v>
      </c>
      <c r="H29" s="29">
        <v>6.58</v>
      </c>
      <c r="I29" s="29">
        <f>H29*1.3038</f>
        <v>8.58</v>
      </c>
      <c r="J29" s="29">
        <f>F29*I29</f>
        <v>1152.81</v>
      </c>
    </row>
    <row r="30" spans="1:18" ht="25.5" customHeight="1" x14ac:dyDescent="0.25">
      <c r="A30" s="35" t="s">
        <v>254</v>
      </c>
      <c r="B30" s="52">
        <v>90108</v>
      </c>
      <c r="C30" s="32" t="s">
        <v>165</v>
      </c>
      <c r="D30" s="32" t="s">
        <v>302</v>
      </c>
      <c r="E30" s="28" t="s">
        <v>74</v>
      </c>
      <c r="F30" s="53">
        <f>'Mem. Cálc. - P.O'!J79</f>
        <v>232.34</v>
      </c>
      <c r="G30" s="8" t="s">
        <v>30</v>
      </c>
      <c r="H30" s="29">
        <v>5.99</v>
      </c>
      <c r="I30" s="29">
        <f>H30*1.3038</f>
        <v>7.81</v>
      </c>
      <c r="J30" s="29">
        <f t="shared" ref="J30:J39" si="4">F30*I30</f>
        <v>1814.58</v>
      </c>
    </row>
    <row r="31" spans="1:18" ht="25.5" customHeight="1" x14ac:dyDescent="0.25">
      <c r="A31" s="35" t="s">
        <v>255</v>
      </c>
      <c r="B31" s="52">
        <v>101616</v>
      </c>
      <c r="C31" s="32" t="s">
        <v>165</v>
      </c>
      <c r="D31" s="32" t="s">
        <v>302</v>
      </c>
      <c r="E31" s="28" t="s">
        <v>243</v>
      </c>
      <c r="F31" s="53">
        <f>'Mem. Cálc. - P.O'!J97</f>
        <v>196.96</v>
      </c>
      <c r="G31" s="8" t="s">
        <v>29</v>
      </c>
      <c r="H31" s="29">
        <v>4.93</v>
      </c>
      <c r="I31" s="29">
        <f>H31*1.3038</f>
        <v>6.43</v>
      </c>
      <c r="J31" s="29">
        <f t="shared" si="4"/>
        <v>1266.45</v>
      </c>
    </row>
    <row r="32" spans="1:18" ht="25.5" customHeight="1" x14ac:dyDescent="0.25">
      <c r="A32" s="35" t="s">
        <v>256</v>
      </c>
      <c r="B32" s="52">
        <v>92210</v>
      </c>
      <c r="C32" s="32" t="s">
        <v>244</v>
      </c>
      <c r="D32" s="32" t="s">
        <v>302</v>
      </c>
      <c r="E32" s="28" t="s">
        <v>76</v>
      </c>
      <c r="F32" s="53">
        <f>'Mem. Cálc. - P.O'!J114</f>
        <v>125.53</v>
      </c>
      <c r="G32" s="8" t="s">
        <v>32</v>
      </c>
      <c r="H32" s="29">
        <v>158.94</v>
      </c>
      <c r="I32" s="29">
        <f t="shared" ref="I32:I39" si="5">H32*1.3038</f>
        <v>207.23</v>
      </c>
      <c r="J32" s="29">
        <f t="shared" si="4"/>
        <v>26013.58</v>
      </c>
    </row>
    <row r="33" spans="1:18" ht="25.5" customHeight="1" x14ac:dyDescent="0.25">
      <c r="A33" s="35" t="s">
        <v>257</v>
      </c>
      <c r="B33" s="52">
        <v>92212</v>
      </c>
      <c r="C33" s="32" t="s">
        <v>165</v>
      </c>
      <c r="D33" s="32" t="s">
        <v>302</v>
      </c>
      <c r="E33" s="28" t="s">
        <v>78</v>
      </c>
      <c r="F33" s="53">
        <f>'Mem. Cálc. - P.O'!J118</f>
        <v>121.2</v>
      </c>
      <c r="G33" s="8" t="s">
        <v>32</v>
      </c>
      <c r="H33" s="29">
        <v>285.2</v>
      </c>
      <c r="I33" s="29">
        <f t="shared" si="5"/>
        <v>371.84</v>
      </c>
      <c r="J33" s="29">
        <f t="shared" si="4"/>
        <v>45067.01</v>
      </c>
    </row>
    <row r="34" spans="1:18" ht="25.5" customHeight="1" x14ac:dyDescent="0.25">
      <c r="A34" s="35" t="s">
        <v>258</v>
      </c>
      <c r="B34" s="52">
        <v>96620</v>
      </c>
      <c r="C34" s="32" t="s">
        <v>165</v>
      </c>
      <c r="D34" s="32" t="s">
        <v>302</v>
      </c>
      <c r="E34" s="28" t="s">
        <v>224</v>
      </c>
      <c r="F34" s="53">
        <f>'Mem. Cálc. - P.O'!J122</f>
        <v>11.64</v>
      </c>
      <c r="G34" s="8" t="s">
        <v>30</v>
      </c>
      <c r="H34" s="29">
        <v>524.57000000000005</v>
      </c>
      <c r="I34" s="29">
        <f t="shared" si="5"/>
        <v>683.93</v>
      </c>
      <c r="J34" s="29">
        <f t="shared" si="4"/>
        <v>7960.95</v>
      </c>
    </row>
    <row r="35" spans="1:18" ht="25.5" customHeight="1" x14ac:dyDescent="0.25">
      <c r="A35" s="35" t="s">
        <v>259</v>
      </c>
      <c r="B35" s="52">
        <v>93382</v>
      </c>
      <c r="C35" s="32" t="s">
        <v>165</v>
      </c>
      <c r="D35" s="32" t="s">
        <v>303</v>
      </c>
      <c r="E35" s="28" t="s">
        <v>77</v>
      </c>
      <c r="F35" s="53">
        <f>'Mem. Cálc. - P.O'!J143</f>
        <v>297.64999999999998</v>
      </c>
      <c r="G35" s="8" t="s">
        <v>30</v>
      </c>
      <c r="H35" s="29">
        <v>26</v>
      </c>
      <c r="I35" s="29">
        <f t="shared" si="5"/>
        <v>33.9</v>
      </c>
      <c r="J35" s="29">
        <f t="shared" si="4"/>
        <v>10090.34</v>
      </c>
    </row>
    <row r="36" spans="1:18" ht="51" customHeight="1" x14ac:dyDescent="0.25">
      <c r="A36" s="35" t="s">
        <v>260</v>
      </c>
      <c r="B36" s="88" t="s">
        <v>157</v>
      </c>
      <c r="C36" s="32" t="s">
        <v>242</v>
      </c>
      <c r="D36" s="32" t="s">
        <v>303</v>
      </c>
      <c r="E36" s="28" t="s">
        <v>172</v>
      </c>
      <c r="F36" s="53">
        <f>'Mem. Cálc. - P.O'!J148</f>
        <v>13</v>
      </c>
      <c r="G36" s="8" t="s">
        <v>158</v>
      </c>
      <c r="H36" s="29">
        <v>2313.86</v>
      </c>
      <c r="I36" s="29">
        <f t="shared" si="5"/>
        <v>3016.81</v>
      </c>
      <c r="J36" s="29">
        <f t="shared" si="4"/>
        <v>39218.53</v>
      </c>
    </row>
    <row r="37" spans="1:18" ht="25.5" customHeight="1" x14ac:dyDescent="0.25">
      <c r="A37" s="35" t="s">
        <v>261</v>
      </c>
      <c r="B37" s="52">
        <v>99252</v>
      </c>
      <c r="C37" s="32" t="s">
        <v>165</v>
      </c>
      <c r="D37" s="32" t="s">
        <v>303</v>
      </c>
      <c r="E37" s="28" t="s">
        <v>225</v>
      </c>
      <c r="F37" s="53">
        <f>'Mem. Cálc. - P.O'!J153</f>
        <v>5</v>
      </c>
      <c r="G37" s="8" t="s">
        <v>31</v>
      </c>
      <c r="H37" s="29">
        <v>2232.16</v>
      </c>
      <c r="I37" s="29">
        <f t="shared" si="5"/>
        <v>2910.29</v>
      </c>
      <c r="J37" s="29">
        <f t="shared" si="4"/>
        <v>14551.45</v>
      </c>
    </row>
    <row r="38" spans="1:18" ht="25.5" customHeight="1" x14ac:dyDescent="0.25">
      <c r="A38" s="35" t="s">
        <v>265</v>
      </c>
      <c r="B38" s="52">
        <v>99254</v>
      </c>
      <c r="C38" s="32" t="s">
        <v>165</v>
      </c>
      <c r="D38" s="32" t="s">
        <v>303</v>
      </c>
      <c r="E38" s="28" t="s">
        <v>164</v>
      </c>
      <c r="F38" s="53">
        <f>'Mem. Cálc. - P.O'!J161</f>
        <v>1.83</v>
      </c>
      <c r="G38" s="8" t="s">
        <v>32</v>
      </c>
      <c r="H38" s="29">
        <v>1008.95</v>
      </c>
      <c r="I38" s="29">
        <f t="shared" si="5"/>
        <v>1315.47</v>
      </c>
      <c r="J38" s="29">
        <f t="shared" si="4"/>
        <v>2407.31</v>
      </c>
    </row>
    <row r="39" spans="1:18" ht="25.5" customHeight="1" x14ac:dyDescent="0.25">
      <c r="A39" s="35" t="s">
        <v>266</v>
      </c>
      <c r="B39" s="88" t="s">
        <v>309</v>
      </c>
      <c r="C39" s="32" t="s">
        <v>233</v>
      </c>
      <c r="D39" s="32" t="s">
        <v>303</v>
      </c>
      <c r="E39" s="28" t="s">
        <v>171</v>
      </c>
      <c r="F39" s="53">
        <f>'Mem. Cálc. - P.O'!J166</f>
        <v>9.8000000000000007</v>
      </c>
      <c r="G39" s="8" t="s">
        <v>29</v>
      </c>
      <c r="H39" s="29">
        <f>'C.P.U.'!H21</f>
        <v>308.22000000000003</v>
      </c>
      <c r="I39" s="29">
        <f t="shared" si="5"/>
        <v>401.86</v>
      </c>
      <c r="J39" s="29">
        <f t="shared" si="4"/>
        <v>3938.23</v>
      </c>
    </row>
    <row r="40" spans="1:18" ht="16.5" customHeight="1" x14ac:dyDescent="0.25">
      <c r="A40" s="100" t="str">
        <f>"TOTAL (Item "&amp;A28&amp;"):"</f>
        <v>TOTAL (Item 5):</v>
      </c>
      <c r="B40" s="100"/>
      <c r="C40" s="100"/>
      <c r="D40" s="100"/>
      <c r="E40" s="100"/>
      <c r="F40" s="100"/>
      <c r="G40" s="100"/>
      <c r="H40" s="100"/>
      <c r="I40" s="100"/>
      <c r="J40" s="65">
        <f>SUM(J29:J39)</f>
        <v>153481.24</v>
      </c>
    </row>
    <row r="41" spans="1:18" s="1" customFormat="1" ht="16.5" customHeight="1" x14ac:dyDescent="0.25">
      <c r="A41" s="33">
        <v>6</v>
      </c>
      <c r="B41" s="34"/>
      <c r="C41" s="34"/>
      <c r="D41" s="34"/>
      <c r="E41" s="106" t="s">
        <v>52</v>
      </c>
      <c r="F41" s="106"/>
      <c r="G41" s="106"/>
      <c r="H41" s="106"/>
      <c r="I41" s="106"/>
      <c r="J41" s="106"/>
      <c r="L41" s="7"/>
      <c r="M41" s="31"/>
      <c r="N41" s="31"/>
      <c r="R41" s="14"/>
    </row>
    <row r="42" spans="1:18" ht="25.5" customHeight="1" x14ac:dyDescent="0.25">
      <c r="A42" s="16" t="s">
        <v>267</v>
      </c>
      <c r="B42" s="88" t="s">
        <v>79</v>
      </c>
      <c r="C42" s="32" t="s">
        <v>242</v>
      </c>
      <c r="D42" s="32" t="s">
        <v>304</v>
      </c>
      <c r="E42" s="28" t="s">
        <v>139</v>
      </c>
      <c r="F42" s="53">
        <f>'Mem. Cálc. - P.O'!J171</f>
        <v>2017.4</v>
      </c>
      <c r="G42" s="8" t="s">
        <v>29</v>
      </c>
      <c r="H42" s="29">
        <v>12.9</v>
      </c>
      <c r="I42" s="29">
        <f t="shared" ref="I42:I50" si="6">H42*1.3038</f>
        <v>16.82</v>
      </c>
      <c r="J42" s="29">
        <f t="shared" ref="J42:J50" si="7">F42*I42</f>
        <v>33932.67</v>
      </c>
      <c r="L42" s="30"/>
      <c r="M42" s="30"/>
    </row>
    <row r="43" spans="1:18" ht="25.5" customHeight="1" x14ac:dyDescent="0.25">
      <c r="A43" s="16" t="s">
        <v>268</v>
      </c>
      <c r="B43" s="52" t="s">
        <v>140</v>
      </c>
      <c r="C43" s="32" t="s">
        <v>242</v>
      </c>
      <c r="D43" s="32" t="s">
        <v>304</v>
      </c>
      <c r="E43" s="28" t="s">
        <v>141</v>
      </c>
      <c r="F43" s="53">
        <f>'Mem. Cálc. - P.O'!J175</f>
        <v>403.48</v>
      </c>
      <c r="G43" s="8" t="s">
        <v>30</v>
      </c>
      <c r="H43" s="29">
        <v>2.5299999999999998</v>
      </c>
      <c r="I43" s="29">
        <f t="shared" si="6"/>
        <v>3.3</v>
      </c>
      <c r="J43" s="29">
        <f t="shared" si="7"/>
        <v>1331.48</v>
      </c>
      <c r="L43" s="30"/>
      <c r="M43" s="30"/>
    </row>
    <row r="44" spans="1:18" ht="25.5" customHeight="1" x14ac:dyDescent="0.25">
      <c r="A44" s="16" t="s">
        <v>269</v>
      </c>
      <c r="B44" s="52">
        <v>97918</v>
      </c>
      <c r="C44" s="32" t="s">
        <v>165</v>
      </c>
      <c r="D44" s="32" t="s">
        <v>304</v>
      </c>
      <c r="E44" s="28" t="s">
        <v>241</v>
      </c>
      <c r="F44" s="53">
        <f>'Mem. Cálc. - P.O'!J179</f>
        <v>2177.29</v>
      </c>
      <c r="G44" s="8" t="s">
        <v>142</v>
      </c>
      <c r="H44" s="29">
        <v>1.7</v>
      </c>
      <c r="I44" s="29">
        <f t="shared" si="6"/>
        <v>2.2200000000000002</v>
      </c>
      <c r="J44" s="29">
        <f t="shared" si="7"/>
        <v>4833.58</v>
      </c>
      <c r="L44" s="30"/>
      <c r="M44" s="30"/>
    </row>
    <row r="45" spans="1:18" ht="25.5" customHeight="1" x14ac:dyDescent="0.25">
      <c r="A45" s="16" t="s">
        <v>270</v>
      </c>
      <c r="B45" s="52">
        <v>100576</v>
      </c>
      <c r="C45" s="32" t="s">
        <v>165</v>
      </c>
      <c r="D45" s="32" t="s">
        <v>305</v>
      </c>
      <c r="E45" s="28" t="s">
        <v>311</v>
      </c>
      <c r="F45" s="53">
        <f>'Mem. Cálc. - P.O'!J240</f>
        <v>2017.4</v>
      </c>
      <c r="G45" s="8" t="s">
        <v>29</v>
      </c>
      <c r="H45" s="29">
        <v>2.06</v>
      </c>
      <c r="I45" s="29">
        <f t="shared" si="6"/>
        <v>2.69</v>
      </c>
      <c r="J45" s="29">
        <f t="shared" si="7"/>
        <v>5426.81</v>
      </c>
      <c r="L45" s="30"/>
      <c r="M45" s="30"/>
    </row>
    <row r="46" spans="1:18" ht="25.5" customHeight="1" x14ac:dyDescent="0.25">
      <c r="A46" s="16" t="s">
        <v>271</v>
      </c>
      <c r="B46" s="52" t="s">
        <v>149</v>
      </c>
      <c r="C46" s="32" t="s">
        <v>242</v>
      </c>
      <c r="D46" s="32" t="s">
        <v>305</v>
      </c>
      <c r="E46" s="28" t="s">
        <v>150</v>
      </c>
      <c r="F46" s="53">
        <f>'Mem. Cálc. - P.O'!J244</f>
        <v>12</v>
      </c>
      <c r="G46" s="8" t="s">
        <v>32</v>
      </c>
      <c r="H46" s="29">
        <v>9.2100000000000009</v>
      </c>
      <c r="I46" s="29">
        <f t="shared" si="6"/>
        <v>12.01</v>
      </c>
      <c r="J46" s="29">
        <f t="shared" si="7"/>
        <v>144.12</v>
      </c>
      <c r="L46" s="30"/>
      <c r="M46" s="30"/>
    </row>
    <row r="47" spans="1:18" ht="25.5" customHeight="1" x14ac:dyDescent="0.25">
      <c r="A47" s="16" t="s">
        <v>272</v>
      </c>
      <c r="B47" s="52">
        <v>94274</v>
      </c>
      <c r="C47" s="32" t="s">
        <v>165</v>
      </c>
      <c r="D47" s="32" t="s">
        <v>306</v>
      </c>
      <c r="E47" s="28" t="s">
        <v>152</v>
      </c>
      <c r="F47" s="53">
        <f>'Mem. Cálc. - P.O'!J192</f>
        <v>73.63</v>
      </c>
      <c r="G47" s="8" t="s">
        <v>32</v>
      </c>
      <c r="H47" s="29">
        <v>60.57</v>
      </c>
      <c r="I47" s="29">
        <f t="shared" si="6"/>
        <v>78.97</v>
      </c>
      <c r="J47" s="29">
        <f t="shared" si="7"/>
        <v>5814.56</v>
      </c>
      <c r="L47" s="30"/>
      <c r="M47" s="30"/>
    </row>
    <row r="48" spans="1:18" ht="25.5" customHeight="1" x14ac:dyDescent="0.25">
      <c r="A48" s="16" t="s">
        <v>273</v>
      </c>
      <c r="B48" s="52">
        <v>92407</v>
      </c>
      <c r="C48" s="32" t="s">
        <v>165</v>
      </c>
      <c r="D48" s="32" t="s">
        <v>305</v>
      </c>
      <c r="E48" s="28" t="s">
        <v>237</v>
      </c>
      <c r="F48" s="53">
        <f>'Mem. Cálc. - P.O'!J248</f>
        <v>2017.4</v>
      </c>
      <c r="G48" s="8" t="s">
        <v>29</v>
      </c>
      <c r="H48" s="29">
        <v>84.54</v>
      </c>
      <c r="I48" s="29">
        <f t="shared" si="6"/>
        <v>110.22</v>
      </c>
      <c r="J48" s="29">
        <f t="shared" si="7"/>
        <v>222357.83</v>
      </c>
      <c r="L48" s="30"/>
      <c r="M48" s="30"/>
    </row>
    <row r="49" spans="1:13" ht="25.5" customHeight="1" x14ac:dyDescent="0.25">
      <c r="A49" s="16" t="s">
        <v>274</v>
      </c>
      <c r="B49" s="52">
        <v>94288</v>
      </c>
      <c r="C49" s="32" t="s">
        <v>165</v>
      </c>
      <c r="D49" s="32" t="s">
        <v>307</v>
      </c>
      <c r="E49" s="28" t="s">
        <v>238</v>
      </c>
      <c r="F49" s="53">
        <f>'Mem. Cálc. - P.O'!J197</f>
        <v>580.15</v>
      </c>
      <c r="G49" s="8" t="s">
        <v>32</v>
      </c>
      <c r="H49" s="29">
        <v>49.63</v>
      </c>
      <c r="I49" s="29">
        <f t="shared" si="6"/>
        <v>64.709999999999994</v>
      </c>
      <c r="J49" s="29">
        <f t="shared" si="7"/>
        <v>37541.51</v>
      </c>
      <c r="L49" s="30"/>
      <c r="M49" s="30"/>
    </row>
    <row r="50" spans="1:13" ht="25.5" customHeight="1" x14ac:dyDescent="0.25">
      <c r="A50" s="16" t="s">
        <v>275</v>
      </c>
      <c r="B50" s="52">
        <v>102501</v>
      </c>
      <c r="C50" s="32" t="s">
        <v>165</v>
      </c>
      <c r="D50" s="32" t="s">
        <v>308</v>
      </c>
      <c r="E50" s="28" t="s">
        <v>236</v>
      </c>
      <c r="F50" s="53">
        <f>'Mem. Cálc. - P.O'!J211</f>
        <v>57.55</v>
      </c>
      <c r="G50" s="8" t="s">
        <v>29</v>
      </c>
      <c r="H50" s="29">
        <v>18.95</v>
      </c>
      <c r="I50" s="29">
        <f t="shared" si="6"/>
        <v>24.71</v>
      </c>
      <c r="J50" s="29">
        <f t="shared" si="7"/>
        <v>1422.06</v>
      </c>
      <c r="L50" s="30"/>
      <c r="M50" s="30"/>
    </row>
    <row r="51" spans="1:13" ht="16.5" customHeight="1" x14ac:dyDescent="0.25">
      <c r="A51" s="100" t="str">
        <f>"SUB-TOTAL (Item "&amp;A9&amp;"):"</f>
        <v>SUB-TOTAL (Item Item):</v>
      </c>
      <c r="B51" s="100"/>
      <c r="C51" s="100"/>
      <c r="D51" s="100"/>
      <c r="E51" s="100"/>
      <c r="F51" s="100"/>
      <c r="G51" s="100"/>
      <c r="H51" s="100"/>
      <c r="I51" s="100"/>
      <c r="J51" s="36">
        <f>SUM(J42:J50)</f>
        <v>312804.62</v>
      </c>
    </row>
    <row r="52" spans="1:13" ht="16.5" customHeight="1" x14ac:dyDescent="0.25">
      <c r="A52" s="101" t="s">
        <v>51</v>
      </c>
      <c r="B52" s="101"/>
      <c r="C52" s="101"/>
      <c r="D52" s="101"/>
      <c r="E52" s="101"/>
      <c r="F52" s="101"/>
      <c r="G52" s="101"/>
      <c r="H52" s="101"/>
      <c r="I52" s="101"/>
      <c r="J52" s="66">
        <f>J13+J20+J23+J27+J40+J51</f>
        <v>496564.15</v>
      </c>
      <c r="K52" s="30"/>
    </row>
    <row r="53" spans="1:13" ht="16.5" customHeight="1" x14ac:dyDescent="0.25">
      <c r="A53" s="102" t="s">
        <v>50</v>
      </c>
      <c r="B53" s="103"/>
      <c r="C53" s="103"/>
      <c r="D53" s="103"/>
      <c r="E53" s="103"/>
      <c r="F53" s="103"/>
      <c r="G53" s="103"/>
      <c r="H53" s="103"/>
      <c r="I53" s="103"/>
      <c r="J53" s="104"/>
    </row>
    <row r="54" spans="1:13" ht="21" customHeight="1" x14ac:dyDescent="0.25">
      <c r="A54" s="94" t="s">
        <v>49</v>
      </c>
      <c r="B54" s="95"/>
      <c r="C54" s="95"/>
      <c r="D54" s="95"/>
      <c r="E54" s="95"/>
      <c r="F54" s="95"/>
      <c r="G54" s="95"/>
      <c r="H54" s="95"/>
      <c r="I54" s="95"/>
      <c r="J54" s="96"/>
    </row>
    <row r="55" spans="1:13" ht="25.5" customHeight="1" x14ac:dyDescent="0.25">
      <c r="A55" s="94" t="s">
        <v>48</v>
      </c>
      <c r="B55" s="95"/>
      <c r="C55" s="95"/>
      <c r="D55" s="95"/>
      <c r="E55" s="95"/>
      <c r="F55" s="95"/>
      <c r="G55" s="95"/>
      <c r="H55" s="95"/>
      <c r="I55" s="95"/>
      <c r="J55" s="96"/>
    </row>
    <row r="56" spans="1:13" ht="16.5" customHeight="1" x14ac:dyDescent="0.25">
      <c r="A56" s="94" t="s">
        <v>47</v>
      </c>
      <c r="B56" s="95"/>
      <c r="C56" s="95"/>
      <c r="D56" s="95"/>
      <c r="E56" s="95"/>
      <c r="F56" s="95"/>
      <c r="G56" s="95"/>
      <c r="H56" s="95"/>
      <c r="I56" s="95"/>
      <c r="J56" s="96"/>
    </row>
    <row r="57" spans="1:13" ht="25.5" customHeight="1" x14ac:dyDescent="0.25">
      <c r="A57" s="94" t="s">
        <v>46</v>
      </c>
      <c r="B57" s="95"/>
      <c r="C57" s="95"/>
      <c r="D57" s="95"/>
      <c r="E57" s="95"/>
      <c r="F57" s="95"/>
      <c r="G57" s="95"/>
      <c r="H57" s="95"/>
      <c r="I57" s="95"/>
      <c r="J57" s="96"/>
    </row>
    <row r="58" spans="1:13" ht="24" customHeight="1" x14ac:dyDescent="0.25">
      <c r="A58" s="94" t="s">
        <v>45</v>
      </c>
      <c r="B58" s="95"/>
      <c r="C58" s="95"/>
      <c r="D58" s="95"/>
      <c r="E58" s="95"/>
      <c r="F58" s="95"/>
      <c r="G58" s="95"/>
      <c r="H58" s="95"/>
      <c r="I58" s="95"/>
      <c r="J58" s="96"/>
    </row>
    <row r="59" spans="1:13" ht="16.5" customHeight="1" x14ac:dyDescent="0.25">
      <c r="A59" s="94" t="s">
        <v>44</v>
      </c>
      <c r="B59" s="95"/>
      <c r="C59" s="95"/>
      <c r="D59" s="95"/>
      <c r="E59" s="95"/>
      <c r="F59" s="95"/>
      <c r="G59" s="95"/>
      <c r="H59" s="95"/>
      <c r="I59" s="95"/>
      <c r="J59" s="96"/>
    </row>
    <row r="60" spans="1:13" ht="24.75" customHeight="1" x14ac:dyDescent="0.25">
      <c r="A60" s="94" t="s">
        <v>43</v>
      </c>
      <c r="B60" s="95"/>
      <c r="C60" s="95"/>
      <c r="D60" s="95"/>
      <c r="E60" s="95"/>
      <c r="F60" s="95"/>
      <c r="G60" s="95"/>
      <c r="H60" s="95"/>
      <c r="I60" s="95"/>
      <c r="J60" s="96"/>
    </row>
    <row r="61" spans="1:13" ht="25.5" customHeight="1" x14ac:dyDescent="0.25">
      <c r="A61" s="97" t="s">
        <v>42</v>
      </c>
      <c r="B61" s="98"/>
      <c r="C61" s="98"/>
      <c r="D61" s="98"/>
      <c r="E61" s="98"/>
      <c r="F61" s="98"/>
      <c r="G61" s="98"/>
      <c r="H61" s="98"/>
      <c r="I61" s="98"/>
      <c r="J61" s="99"/>
    </row>
  </sheetData>
  <mergeCells count="31">
    <mergeCell ref="E21:J21"/>
    <mergeCell ref="A1:J3"/>
    <mergeCell ref="A4:J4"/>
    <mergeCell ref="A5:J5"/>
    <mergeCell ref="A6:B7"/>
    <mergeCell ref="C6:G7"/>
    <mergeCell ref="H6:H7"/>
    <mergeCell ref="I6:I7"/>
    <mergeCell ref="J6:J7"/>
    <mergeCell ref="A8:J8"/>
    <mergeCell ref="E10:J10"/>
    <mergeCell ref="A13:I13"/>
    <mergeCell ref="E14:J14"/>
    <mergeCell ref="A20:I20"/>
    <mergeCell ref="A56:J56"/>
    <mergeCell ref="A23:I23"/>
    <mergeCell ref="E24:J24"/>
    <mergeCell ref="A27:I27"/>
    <mergeCell ref="E28:J28"/>
    <mergeCell ref="A40:I40"/>
    <mergeCell ref="E41:J41"/>
    <mergeCell ref="A51:I51"/>
    <mergeCell ref="A52:I52"/>
    <mergeCell ref="A53:J53"/>
    <mergeCell ref="A54:J54"/>
    <mergeCell ref="A55:J55"/>
    <mergeCell ref="A57:J57"/>
    <mergeCell ref="A58:J58"/>
    <mergeCell ref="A59:J59"/>
    <mergeCell ref="A60:J60"/>
    <mergeCell ref="A61:J61"/>
  </mergeCells>
  <pageMargins left="0.19685039370078741" right="0.19685039370078741" top="0.19685039370078741" bottom="1.1811023622047245" header="0.31496062992125984" footer="0.31496062992125984"/>
  <pageSetup paperSize="9" scale="66" fitToHeight="0" orientation="landscape" verticalDpi="4294967295" r:id="rId1"/>
  <headerFooter>
    <oddFooter>Página &amp;P de &amp;N</oddFooter>
  </headerFooter>
  <rowBreaks count="1" manualBreakCount="1">
    <brk id="35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view="pageBreakPreview" zoomScaleNormal="100" zoomScaleSheetLayoutView="100" workbookViewId="0">
      <selection activeCell="A13" sqref="A13:I13"/>
    </sheetView>
  </sheetViews>
  <sheetFormatPr defaultRowHeight="16.5" customHeight="1" x14ac:dyDescent="0.25"/>
  <cols>
    <col min="1" max="1" width="7.85546875" style="14" customWidth="1"/>
    <col min="2" max="4" width="12.7109375" style="12" customWidth="1"/>
    <col min="5" max="5" width="100" style="12" customWidth="1"/>
    <col min="6" max="7" width="12.7109375" style="12" customWidth="1"/>
    <col min="8" max="17" width="15" style="12" customWidth="1"/>
    <col min="18" max="16384" width="9.140625" style="12"/>
  </cols>
  <sheetData>
    <row r="1" spans="1:18" s="1" customFormat="1" ht="16.5" customHeight="1" x14ac:dyDescent="0.25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L1" s="7"/>
      <c r="R1" s="14">
        <v>1</v>
      </c>
    </row>
    <row r="2" spans="1:18" s="1" customFormat="1" ht="16.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L2" s="7"/>
      <c r="R2" s="14">
        <v>2</v>
      </c>
    </row>
    <row r="3" spans="1:18" s="1" customFormat="1" ht="16.5" customHeigh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  <c r="L3" s="7"/>
      <c r="R3" s="14">
        <v>3</v>
      </c>
    </row>
    <row r="4" spans="1:18" s="1" customFormat="1" ht="16.5" customHeight="1" x14ac:dyDescent="0.25">
      <c r="A4" s="108" t="s">
        <v>328</v>
      </c>
      <c r="B4" s="108"/>
      <c r="C4" s="108"/>
      <c r="D4" s="108"/>
      <c r="E4" s="108"/>
      <c r="F4" s="108"/>
      <c r="G4" s="108"/>
      <c r="H4" s="108"/>
      <c r="I4" s="108"/>
      <c r="J4" s="108"/>
      <c r="L4" s="7"/>
      <c r="R4" s="14">
        <v>4</v>
      </c>
    </row>
    <row r="5" spans="1:18" s="1" customFormat="1" ht="16.5" customHeight="1" x14ac:dyDescent="0.25">
      <c r="A5" s="110" t="s">
        <v>27</v>
      </c>
      <c r="B5" s="110"/>
      <c r="C5" s="110"/>
      <c r="D5" s="110"/>
      <c r="E5" s="110"/>
      <c r="F5" s="110"/>
      <c r="G5" s="110"/>
      <c r="H5" s="110"/>
      <c r="I5" s="110"/>
      <c r="J5" s="110"/>
      <c r="L5" s="7"/>
      <c r="R5" s="14">
        <v>5</v>
      </c>
    </row>
    <row r="6" spans="1:18" s="1" customFormat="1" ht="16.5" customHeight="1" x14ac:dyDescent="0.25">
      <c r="A6" s="111" t="s">
        <v>1</v>
      </c>
      <c r="B6" s="111"/>
      <c r="C6" s="112" t="s">
        <v>310</v>
      </c>
      <c r="D6" s="113"/>
      <c r="E6" s="113"/>
      <c r="F6" s="113"/>
      <c r="G6" s="114"/>
      <c r="H6" s="118" t="s">
        <v>2</v>
      </c>
      <c r="I6" s="119">
        <f>BDI!J28</f>
        <v>0.30380000000000001</v>
      </c>
      <c r="J6" s="120" t="s">
        <v>316</v>
      </c>
      <c r="L6" s="7"/>
      <c r="R6" s="14">
        <v>6</v>
      </c>
    </row>
    <row r="7" spans="1:18" s="1" customFormat="1" ht="16.5" customHeight="1" x14ac:dyDescent="0.25">
      <c r="A7" s="111"/>
      <c r="B7" s="111"/>
      <c r="C7" s="115"/>
      <c r="D7" s="116"/>
      <c r="E7" s="116"/>
      <c r="F7" s="116"/>
      <c r="G7" s="117"/>
      <c r="H7" s="118"/>
      <c r="I7" s="119"/>
      <c r="J7" s="120"/>
      <c r="K7" s="4"/>
      <c r="L7" s="7"/>
      <c r="R7" s="14">
        <v>7</v>
      </c>
    </row>
    <row r="8" spans="1:18" s="1" customFormat="1" ht="16.5" customHeight="1" x14ac:dyDescent="0.25">
      <c r="A8" s="108" t="s">
        <v>3</v>
      </c>
      <c r="B8" s="108"/>
      <c r="C8" s="108"/>
      <c r="D8" s="108"/>
      <c r="E8" s="108"/>
      <c r="F8" s="108"/>
      <c r="G8" s="108"/>
      <c r="H8" s="108"/>
      <c r="I8" s="108"/>
      <c r="J8" s="108"/>
      <c r="L8" s="7"/>
      <c r="R8" s="14">
        <v>8</v>
      </c>
    </row>
    <row r="9" spans="1:18" s="1" customFormat="1" ht="25.5" customHeight="1" x14ac:dyDescent="0.25">
      <c r="A9" s="10" t="s">
        <v>4</v>
      </c>
      <c r="B9" s="11" t="s">
        <v>5</v>
      </c>
      <c r="C9" s="11" t="s">
        <v>81</v>
      </c>
      <c r="D9" s="11" t="s">
        <v>296</v>
      </c>
      <c r="E9" s="10" t="s">
        <v>6</v>
      </c>
      <c r="F9" s="2" t="s">
        <v>7</v>
      </c>
      <c r="G9" s="10" t="s">
        <v>20</v>
      </c>
      <c r="H9" s="3" t="s">
        <v>8</v>
      </c>
      <c r="I9" s="3" t="s">
        <v>9</v>
      </c>
      <c r="J9" s="6" t="s">
        <v>10</v>
      </c>
      <c r="L9" s="7"/>
      <c r="R9" s="14">
        <v>9</v>
      </c>
    </row>
    <row r="10" spans="1:18" s="1" customFormat="1" ht="16.5" customHeight="1" x14ac:dyDescent="0.25">
      <c r="A10" s="62">
        <v>1</v>
      </c>
      <c r="B10" s="62" t="s">
        <v>82</v>
      </c>
      <c r="C10" s="62" t="s">
        <v>82</v>
      </c>
      <c r="D10" s="86"/>
      <c r="E10" s="107" t="s">
        <v>36</v>
      </c>
      <c r="F10" s="107"/>
      <c r="G10" s="107"/>
      <c r="H10" s="107"/>
      <c r="I10" s="107"/>
      <c r="J10" s="107"/>
      <c r="L10" s="7"/>
      <c r="R10" s="14">
        <v>11</v>
      </c>
    </row>
    <row r="11" spans="1:18" s="1" customFormat="1" ht="25.5" customHeight="1" x14ac:dyDescent="0.25">
      <c r="A11" s="16" t="str">
        <f>$A$10&amp;"."&amp;R1</f>
        <v>1.1</v>
      </c>
      <c r="B11" s="88" t="s">
        <v>313</v>
      </c>
      <c r="C11" s="32" t="s">
        <v>242</v>
      </c>
      <c r="D11" s="32" t="s">
        <v>297</v>
      </c>
      <c r="E11" s="28" t="s">
        <v>312</v>
      </c>
      <c r="F11" s="53">
        <f>'Mem. Cálc. - P.O'!J18</f>
        <v>0.7</v>
      </c>
      <c r="G11" s="8" t="s">
        <v>37</v>
      </c>
      <c r="H11" s="29"/>
      <c r="I11" s="29">
        <f>H11+H11*I6</f>
        <v>0</v>
      </c>
      <c r="J11" s="29">
        <f>F11*I11</f>
        <v>0</v>
      </c>
      <c r="L11" s="59"/>
      <c r="R11" s="14">
        <v>12</v>
      </c>
    </row>
    <row r="12" spans="1:18" s="1" customFormat="1" ht="25.5" customHeight="1" x14ac:dyDescent="0.25">
      <c r="A12" s="16" t="str">
        <f>$A$10&amp;"."&amp;R2</f>
        <v>1.2</v>
      </c>
      <c r="B12" s="88" t="s">
        <v>313</v>
      </c>
      <c r="C12" s="32" t="s">
        <v>242</v>
      </c>
      <c r="D12" s="32" t="s">
        <v>298</v>
      </c>
      <c r="E12" s="28" t="s">
        <v>276</v>
      </c>
      <c r="F12" s="53">
        <f>'Mem. Cálc. - P.O'!J23</f>
        <v>0.3</v>
      </c>
      <c r="G12" s="8" t="s">
        <v>37</v>
      </c>
      <c r="H12" s="29"/>
      <c r="I12" s="29">
        <f>H12+H12*I6</f>
        <v>0</v>
      </c>
      <c r="J12" s="29">
        <f>F12*I12</f>
        <v>0</v>
      </c>
      <c r="L12" s="59"/>
      <c r="R12" s="14"/>
    </row>
    <row r="13" spans="1:18" s="1" customFormat="1" ht="16.5" customHeight="1" x14ac:dyDescent="0.25">
      <c r="A13" s="100" t="str">
        <f>"TOTAL (Item "&amp;A10&amp;"):"</f>
        <v>TOTAL (Item 1):</v>
      </c>
      <c r="B13" s="100"/>
      <c r="C13" s="100"/>
      <c r="D13" s="100"/>
      <c r="E13" s="100"/>
      <c r="F13" s="100"/>
      <c r="G13" s="100"/>
      <c r="H13" s="100"/>
      <c r="I13" s="100"/>
      <c r="J13" s="65">
        <f>SUM(J11:J12)</f>
        <v>0</v>
      </c>
      <c r="L13" s="59"/>
      <c r="M13" s="60"/>
      <c r="R13" s="14">
        <v>13</v>
      </c>
    </row>
    <row r="14" spans="1:18" s="1" customFormat="1" ht="16.5" customHeight="1" x14ac:dyDescent="0.25">
      <c r="A14" s="62">
        <v>2</v>
      </c>
      <c r="B14" s="62"/>
      <c r="C14" s="62"/>
      <c r="D14" s="86"/>
      <c r="E14" s="107" t="s">
        <v>39</v>
      </c>
      <c r="F14" s="107"/>
      <c r="G14" s="107"/>
      <c r="H14" s="107"/>
      <c r="I14" s="107"/>
      <c r="J14" s="107"/>
      <c r="L14" s="59"/>
      <c r="M14" s="60"/>
      <c r="R14" s="14">
        <v>14</v>
      </c>
    </row>
    <row r="15" spans="1:18" s="1" customFormat="1" ht="38.25" customHeight="1" x14ac:dyDescent="0.25">
      <c r="A15" s="16" t="str">
        <f>$A$14&amp;"."&amp;R1</f>
        <v>2.1</v>
      </c>
      <c r="B15" s="88" t="s">
        <v>40</v>
      </c>
      <c r="C15" s="32" t="s">
        <v>242</v>
      </c>
      <c r="D15" s="32" t="s">
        <v>299</v>
      </c>
      <c r="E15" s="28" t="s">
        <v>314</v>
      </c>
      <c r="F15" s="53">
        <f>'Mem. Cálc. - P.O'!J217</f>
        <v>1</v>
      </c>
      <c r="G15" s="8" t="s">
        <v>31</v>
      </c>
      <c r="H15" s="29"/>
      <c r="I15" s="29">
        <f>(H15+(H15*$I$6))</f>
        <v>0</v>
      </c>
      <c r="J15" s="29">
        <f t="shared" ref="J15:J19" si="0">F15*I15</f>
        <v>0</v>
      </c>
      <c r="L15" s="59"/>
      <c r="R15" s="14">
        <v>15</v>
      </c>
    </row>
    <row r="16" spans="1:18" s="1" customFormat="1" ht="25.5" customHeight="1" x14ac:dyDescent="0.25">
      <c r="A16" s="16" t="str">
        <f>$A$14&amp;"."&amp;R2</f>
        <v>2.2</v>
      </c>
      <c r="B16" s="88" t="s">
        <v>70</v>
      </c>
      <c r="C16" s="32" t="s">
        <v>242</v>
      </c>
      <c r="D16" s="32" t="s">
        <v>299</v>
      </c>
      <c r="E16" s="28" t="s">
        <v>234</v>
      </c>
      <c r="F16" s="53">
        <f>'Mem. Cálc. - P.O'!J221</f>
        <v>3</v>
      </c>
      <c r="G16" s="8" t="s">
        <v>72</v>
      </c>
      <c r="H16" s="29"/>
      <c r="I16" s="29">
        <f t="shared" ref="I16:I19" si="1">(H16+(H16*$I$6))</f>
        <v>0</v>
      </c>
      <c r="J16" s="29">
        <f t="shared" si="0"/>
        <v>0</v>
      </c>
      <c r="L16" s="7"/>
      <c r="O16" s="1">
        <f>M16*N16</f>
        <v>0</v>
      </c>
      <c r="R16" s="14"/>
    </row>
    <row r="17" spans="1:18" s="1" customFormat="1" ht="38.25" customHeight="1" x14ac:dyDescent="0.25">
      <c r="A17" s="16" t="str">
        <f>$A$14&amp;"."&amp;R3</f>
        <v>2.3</v>
      </c>
      <c r="B17" s="88" t="s">
        <v>71</v>
      </c>
      <c r="C17" s="32" t="s">
        <v>242</v>
      </c>
      <c r="D17" s="32" t="s">
        <v>299</v>
      </c>
      <c r="E17" s="28" t="s">
        <v>235</v>
      </c>
      <c r="F17" s="53">
        <f>'Mem. Cálc. - P.O'!J225</f>
        <v>3</v>
      </c>
      <c r="G17" s="8" t="s">
        <v>72</v>
      </c>
      <c r="H17" s="29"/>
      <c r="I17" s="29">
        <f t="shared" si="1"/>
        <v>0</v>
      </c>
      <c r="J17" s="29">
        <f t="shared" si="0"/>
        <v>0</v>
      </c>
      <c r="L17" s="7"/>
      <c r="O17" s="1">
        <f>M17*N17</f>
        <v>0</v>
      </c>
      <c r="R17" s="14"/>
    </row>
    <row r="18" spans="1:18" s="1" customFormat="1" ht="25.5" customHeight="1" x14ac:dyDescent="0.25">
      <c r="A18" s="16" t="str">
        <f>$A$14&amp;"."&amp;R4</f>
        <v>2.4</v>
      </c>
      <c r="B18" s="88" t="s">
        <v>84</v>
      </c>
      <c r="C18" s="32" t="s">
        <v>242</v>
      </c>
      <c r="D18" s="32" t="s">
        <v>299</v>
      </c>
      <c r="E18" s="28" t="s">
        <v>85</v>
      </c>
      <c r="F18" s="53">
        <f>'Mem. Cálc. - P.O'!J229</f>
        <v>1</v>
      </c>
      <c r="G18" s="8" t="s">
        <v>31</v>
      </c>
      <c r="H18" s="29"/>
      <c r="I18" s="29">
        <f t="shared" si="1"/>
        <v>0</v>
      </c>
      <c r="J18" s="29">
        <f t="shared" si="0"/>
        <v>0</v>
      </c>
      <c r="L18" s="90"/>
      <c r="M18" s="89"/>
      <c r="O18" s="60">
        <f>SUM(O16:O17)</f>
        <v>0</v>
      </c>
      <c r="R18" s="14"/>
    </row>
    <row r="19" spans="1:18" s="1" customFormat="1" ht="25.5" customHeight="1" x14ac:dyDescent="0.25">
      <c r="A19" s="16" t="str">
        <f>$A$14&amp;"."&amp;R5</f>
        <v>2.5</v>
      </c>
      <c r="B19" s="88" t="s">
        <v>86</v>
      </c>
      <c r="C19" s="32" t="s">
        <v>242</v>
      </c>
      <c r="D19" s="32" t="s">
        <v>299</v>
      </c>
      <c r="E19" s="28" t="s">
        <v>87</v>
      </c>
      <c r="F19" s="53">
        <f>'Mem. Cálc. - P.O'!J234</f>
        <v>1</v>
      </c>
      <c r="G19" s="8" t="s">
        <v>31</v>
      </c>
      <c r="H19" s="29"/>
      <c r="I19" s="29">
        <f t="shared" si="1"/>
        <v>0</v>
      </c>
      <c r="J19" s="29">
        <f t="shared" si="0"/>
        <v>0</v>
      </c>
      <c r="L19" s="7"/>
      <c r="R19" s="14"/>
    </row>
    <row r="20" spans="1:18" s="1" customFormat="1" ht="16.5" customHeight="1" x14ac:dyDescent="0.25">
      <c r="A20" s="100" t="str">
        <f>"TOTAL (Item "&amp;A14&amp;"):"</f>
        <v>TOTAL (Item 2):</v>
      </c>
      <c r="B20" s="100"/>
      <c r="C20" s="100"/>
      <c r="D20" s="100"/>
      <c r="E20" s="100"/>
      <c r="F20" s="100"/>
      <c r="G20" s="100"/>
      <c r="H20" s="100"/>
      <c r="I20" s="100"/>
      <c r="J20" s="65">
        <f>SUM(J15:J19)</f>
        <v>0</v>
      </c>
      <c r="L20" s="7"/>
      <c r="R20" s="14">
        <v>16</v>
      </c>
    </row>
    <row r="21" spans="1:18" s="1" customFormat="1" ht="16.5" customHeight="1" x14ac:dyDescent="0.25">
      <c r="A21" s="33">
        <v>3</v>
      </c>
      <c r="B21" s="34" t="s">
        <v>82</v>
      </c>
      <c r="C21" s="34"/>
      <c r="D21" s="34"/>
      <c r="E21" s="106" t="s">
        <v>88</v>
      </c>
      <c r="F21" s="106"/>
      <c r="G21" s="106"/>
      <c r="H21" s="106"/>
      <c r="I21" s="106"/>
      <c r="J21" s="106"/>
      <c r="L21" s="7"/>
      <c r="M21" s="31"/>
      <c r="N21" s="31"/>
      <c r="R21" s="14"/>
    </row>
    <row r="22" spans="1:18" s="1" customFormat="1" ht="25.5" customHeight="1" x14ac:dyDescent="0.25">
      <c r="A22" s="35" t="s">
        <v>90</v>
      </c>
      <c r="B22" s="32" t="s">
        <v>279</v>
      </c>
      <c r="C22" s="32" t="s">
        <v>233</v>
      </c>
      <c r="D22" s="32" t="s">
        <v>300</v>
      </c>
      <c r="E22" s="28" t="s">
        <v>280</v>
      </c>
      <c r="F22" s="53">
        <v>1</v>
      </c>
      <c r="G22" s="8" t="s">
        <v>31</v>
      </c>
      <c r="H22" s="29"/>
      <c r="I22" s="29">
        <f>(H22+(H22*$I$6))</f>
        <v>0</v>
      </c>
      <c r="J22" s="29">
        <f t="shared" ref="J22" si="2">F22*I22</f>
        <v>0</v>
      </c>
      <c r="L22" s="7"/>
      <c r="M22" s="31"/>
      <c r="N22" s="31"/>
      <c r="R22" s="14"/>
    </row>
    <row r="23" spans="1:18" s="1" customFormat="1" ht="16.5" customHeight="1" x14ac:dyDescent="0.25">
      <c r="A23" s="105" t="str">
        <f>"TOTAL (Item "&amp;A21&amp;")"</f>
        <v>TOTAL (Item 3)</v>
      </c>
      <c r="B23" s="105"/>
      <c r="C23" s="105"/>
      <c r="D23" s="105"/>
      <c r="E23" s="105"/>
      <c r="F23" s="105"/>
      <c r="G23" s="105"/>
      <c r="H23" s="105"/>
      <c r="I23" s="105"/>
      <c r="J23" s="36">
        <f>SUM(J22:J22)</f>
        <v>0</v>
      </c>
      <c r="L23" s="7"/>
      <c r="M23" s="31"/>
      <c r="N23" s="31"/>
      <c r="R23" s="14"/>
    </row>
    <row r="24" spans="1:18" s="1" customFormat="1" ht="16.5" customHeight="1" x14ac:dyDescent="0.25">
      <c r="A24" s="33">
        <v>4</v>
      </c>
      <c r="B24" s="34" t="s">
        <v>82</v>
      </c>
      <c r="C24" s="34"/>
      <c r="D24" s="34"/>
      <c r="E24" s="106" t="s">
        <v>91</v>
      </c>
      <c r="F24" s="106"/>
      <c r="G24" s="106"/>
      <c r="H24" s="106"/>
      <c r="I24" s="106"/>
      <c r="J24" s="106"/>
      <c r="L24" s="7"/>
      <c r="M24" s="31"/>
      <c r="N24" s="31"/>
      <c r="R24" s="14"/>
    </row>
    <row r="25" spans="1:18" s="1" customFormat="1" ht="25.5" customHeight="1" x14ac:dyDescent="0.25">
      <c r="A25" s="35" t="s">
        <v>138</v>
      </c>
      <c r="B25" s="88" t="s">
        <v>247</v>
      </c>
      <c r="C25" s="32" t="s">
        <v>242</v>
      </c>
      <c r="D25" s="32" t="s">
        <v>301</v>
      </c>
      <c r="E25" s="28" t="s">
        <v>246</v>
      </c>
      <c r="F25" s="53">
        <f>'Mem. Cálc. - P.O'!J46</f>
        <v>1.76</v>
      </c>
      <c r="G25" s="8" t="s">
        <v>29</v>
      </c>
      <c r="H25" s="29"/>
      <c r="I25" s="29">
        <f>(H25+(H25*$I$6))</f>
        <v>0</v>
      </c>
      <c r="J25" s="29">
        <f t="shared" ref="J25:J26" si="3">F25*I25</f>
        <v>0</v>
      </c>
      <c r="K25" s="58"/>
      <c r="L25" s="7"/>
      <c r="M25" s="31"/>
      <c r="N25" s="31"/>
      <c r="R25" s="14"/>
    </row>
    <row r="26" spans="1:18" s="1" customFormat="1" ht="25.5" customHeight="1" x14ac:dyDescent="0.25">
      <c r="A26" s="35" t="s">
        <v>154</v>
      </c>
      <c r="B26" s="88" t="s">
        <v>92</v>
      </c>
      <c r="C26" s="32" t="s">
        <v>242</v>
      </c>
      <c r="D26" s="32" t="s">
        <v>301</v>
      </c>
      <c r="E26" s="28" t="s">
        <v>245</v>
      </c>
      <c r="F26" s="53">
        <f>'Mem. Cálc. - P.O'!J57</f>
        <v>46</v>
      </c>
      <c r="G26" s="8" t="s">
        <v>31</v>
      </c>
      <c r="H26" s="29"/>
      <c r="I26" s="29">
        <f>(H26+(H26*$I$6))</f>
        <v>0</v>
      </c>
      <c r="J26" s="29">
        <f t="shared" si="3"/>
        <v>0</v>
      </c>
      <c r="L26" s="7"/>
      <c r="M26" s="31"/>
      <c r="N26" s="31"/>
      <c r="R26" s="14"/>
    </row>
    <row r="27" spans="1:18" s="1" customFormat="1" ht="16.5" customHeight="1" x14ac:dyDescent="0.25">
      <c r="A27" s="105" t="str">
        <f>"TOTAL (Item "&amp;A24&amp;")"</f>
        <v>TOTAL (Item 4)</v>
      </c>
      <c r="B27" s="105"/>
      <c r="C27" s="105"/>
      <c r="D27" s="105"/>
      <c r="E27" s="105"/>
      <c r="F27" s="105"/>
      <c r="G27" s="105"/>
      <c r="H27" s="105"/>
      <c r="I27" s="105"/>
      <c r="J27" s="36">
        <f>SUM(J25:J26)</f>
        <v>0</v>
      </c>
      <c r="L27" s="7"/>
      <c r="M27" s="31"/>
      <c r="N27" s="31"/>
      <c r="R27" s="14"/>
    </row>
    <row r="28" spans="1:18" ht="16.5" customHeight="1" x14ac:dyDescent="0.25">
      <c r="A28" s="62">
        <v>5</v>
      </c>
      <c r="B28" s="62"/>
      <c r="C28" s="62"/>
      <c r="D28" s="86"/>
      <c r="E28" s="107" t="s">
        <v>73</v>
      </c>
      <c r="F28" s="107"/>
      <c r="G28" s="107"/>
      <c r="H28" s="107"/>
      <c r="I28" s="107"/>
      <c r="J28" s="107"/>
    </row>
    <row r="29" spans="1:18" ht="25.5" customHeight="1" x14ac:dyDescent="0.25">
      <c r="A29" s="35" t="s">
        <v>253</v>
      </c>
      <c r="B29" s="52">
        <v>90107</v>
      </c>
      <c r="C29" s="32" t="s">
        <v>165</v>
      </c>
      <c r="D29" s="32" t="s">
        <v>302</v>
      </c>
      <c r="E29" s="28" t="s">
        <v>75</v>
      </c>
      <c r="F29" s="53">
        <f>'Mem. Cálc. - P.O'!J75</f>
        <v>134.36000000000001</v>
      </c>
      <c r="G29" s="8" t="s">
        <v>30</v>
      </c>
      <c r="H29" s="29"/>
      <c r="I29" s="29">
        <f>H29*1.3038</f>
        <v>0</v>
      </c>
      <c r="J29" s="29">
        <f>F29*I29</f>
        <v>0</v>
      </c>
    </row>
    <row r="30" spans="1:18" ht="25.5" customHeight="1" x14ac:dyDescent="0.25">
      <c r="A30" s="35" t="s">
        <v>254</v>
      </c>
      <c r="B30" s="52">
        <v>90108</v>
      </c>
      <c r="C30" s="32" t="s">
        <v>165</v>
      </c>
      <c r="D30" s="32" t="s">
        <v>302</v>
      </c>
      <c r="E30" s="28" t="s">
        <v>74</v>
      </c>
      <c r="F30" s="53">
        <f>'Mem. Cálc. - P.O'!J79</f>
        <v>232.34</v>
      </c>
      <c r="G30" s="8" t="s">
        <v>30</v>
      </c>
      <c r="H30" s="29"/>
      <c r="I30" s="29">
        <f>H30*1.3038</f>
        <v>0</v>
      </c>
      <c r="J30" s="29">
        <f t="shared" ref="J30:J39" si="4">F30*I30</f>
        <v>0</v>
      </c>
    </row>
    <row r="31" spans="1:18" ht="25.5" customHeight="1" x14ac:dyDescent="0.25">
      <c r="A31" s="35" t="s">
        <v>255</v>
      </c>
      <c r="B31" s="52">
        <v>101616</v>
      </c>
      <c r="C31" s="32" t="s">
        <v>165</v>
      </c>
      <c r="D31" s="32" t="s">
        <v>302</v>
      </c>
      <c r="E31" s="28" t="s">
        <v>243</v>
      </c>
      <c r="F31" s="53">
        <f>'Mem. Cálc. - P.O'!J97</f>
        <v>196.96</v>
      </c>
      <c r="G31" s="8" t="s">
        <v>29</v>
      </c>
      <c r="H31" s="29"/>
      <c r="I31" s="29">
        <f>H31*1.3038</f>
        <v>0</v>
      </c>
      <c r="J31" s="29">
        <f t="shared" si="4"/>
        <v>0</v>
      </c>
    </row>
    <row r="32" spans="1:18" ht="25.5" customHeight="1" x14ac:dyDescent="0.25">
      <c r="A32" s="35" t="s">
        <v>256</v>
      </c>
      <c r="B32" s="52">
        <v>92210</v>
      </c>
      <c r="C32" s="32" t="s">
        <v>244</v>
      </c>
      <c r="D32" s="32" t="s">
        <v>302</v>
      </c>
      <c r="E32" s="28" t="s">
        <v>76</v>
      </c>
      <c r="F32" s="53">
        <f>'Mem. Cálc. - P.O'!J114</f>
        <v>125.53</v>
      </c>
      <c r="G32" s="8" t="s">
        <v>32</v>
      </c>
      <c r="H32" s="29"/>
      <c r="I32" s="29">
        <f t="shared" ref="I32:I39" si="5">H32*1.3038</f>
        <v>0</v>
      </c>
      <c r="J32" s="29">
        <f t="shared" si="4"/>
        <v>0</v>
      </c>
    </row>
    <row r="33" spans="1:18" ht="25.5" customHeight="1" x14ac:dyDescent="0.25">
      <c r="A33" s="35" t="s">
        <v>257</v>
      </c>
      <c r="B33" s="52">
        <v>92212</v>
      </c>
      <c r="C33" s="32" t="s">
        <v>165</v>
      </c>
      <c r="D33" s="32" t="s">
        <v>302</v>
      </c>
      <c r="E33" s="28" t="s">
        <v>78</v>
      </c>
      <c r="F33" s="53">
        <f>'Mem. Cálc. - P.O'!J118</f>
        <v>121.2</v>
      </c>
      <c r="G33" s="8" t="s">
        <v>32</v>
      </c>
      <c r="H33" s="29"/>
      <c r="I33" s="29">
        <f t="shared" si="5"/>
        <v>0</v>
      </c>
      <c r="J33" s="29">
        <f t="shared" si="4"/>
        <v>0</v>
      </c>
    </row>
    <row r="34" spans="1:18" ht="25.5" customHeight="1" x14ac:dyDescent="0.25">
      <c r="A34" s="35" t="s">
        <v>258</v>
      </c>
      <c r="B34" s="52">
        <v>96620</v>
      </c>
      <c r="C34" s="32" t="s">
        <v>165</v>
      </c>
      <c r="D34" s="32" t="s">
        <v>302</v>
      </c>
      <c r="E34" s="28" t="s">
        <v>224</v>
      </c>
      <c r="F34" s="53">
        <f>'Mem. Cálc. - P.O'!J122</f>
        <v>11.64</v>
      </c>
      <c r="G34" s="8" t="s">
        <v>30</v>
      </c>
      <c r="H34" s="29"/>
      <c r="I34" s="29">
        <f t="shared" si="5"/>
        <v>0</v>
      </c>
      <c r="J34" s="29">
        <f t="shared" si="4"/>
        <v>0</v>
      </c>
    </row>
    <row r="35" spans="1:18" ht="25.5" customHeight="1" x14ac:dyDescent="0.25">
      <c r="A35" s="35" t="s">
        <v>259</v>
      </c>
      <c r="B35" s="52">
        <v>93382</v>
      </c>
      <c r="C35" s="32" t="s">
        <v>165</v>
      </c>
      <c r="D35" s="32" t="s">
        <v>303</v>
      </c>
      <c r="E35" s="28" t="s">
        <v>77</v>
      </c>
      <c r="F35" s="53">
        <f>'Mem. Cálc. - P.O'!J143</f>
        <v>297.64999999999998</v>
      </c>
      <c r="G35" s="8" t="s">
        <v>30</v>
      </c>
      <c r="H35" s="29"/>
      <c r="I35" s="29">
        <f t="shared" si="5"/>
        <v>0</v>
      </c>
      <c r="J35" s="29">
        <f t="shared" si="4"/>
        <v>0</v>
      </c>
    </row>
    <row r="36" spans="1:18" ht="51" customHeight="1" x14ac:dyDescent="0.25">
      <c r="A36" s="35" t="s">
        <v>260</v>
      </c>
      <c r="B36" s="88" t="s">
        <v>157</v>
      </c>
      <c r="C36" s="32" t="s">
        <v>242</v>
      </c>
      <c r="D36" s="32" t="s">
        <v>303</v>
      </c>
      <c r="E36" s="28" t="s">
        <v>172</v>
      </c>
      <c r="F36" s="53">
        <f>'Mem. Cálc. - P.O'!J148</f>
        <v>13</v>
      </c>
      <c r="G36" s="8" t="s">
        <v>158</v>
      </c>
      <c r="H36" s="29"/>
      <c r="I36" s="29">
        <f t="shared" si="5"/>
        <v>0</v>
      </c>
      <c r="J36" s="29">
        <f t="shared" si="4"/>
        <v>0</v>
      </c>
    </row>
    <row r="37" spans="1:18" ht="25.5" customHeight="1" x14ac:dyDescent="0.25">
      <c r="A37" s="35" t="s">
        <v>261</v>
      </c>
      <c r="B37" s="52">
        <v>99252</v>
      </c>
      <c r="C37" s="32" t="s">
        <v>165</v>
      </c>
      <c r="D37" s="32" t="s">
        <v>303</v>
      </c>
      <c r="E37" s="28" t="s">
        <v>225</v>
      </c>
      <c r="F37" s="53">
        <f>'Mem. Cálc. - P.O'!J153</f>
        <v>5</v>
      </c>
      <c r="G37" s="8" t="s">
        <v>31</v>
      </c>
      <c r="H37" s="29"/>
      <c r="I37" s="29">
        <f t="shared" si="5"/>
        <v>0</v>
      </c>
      <c r="J37" s="29">
        <f t="shared" si="4"/>
        <v>0</v>
      </c>
    </row>
    <row r="38" spans="1:18" ht="25.5" customHeight="1" x14ac:dyDescent="0.25">
      <c r="A38" s="35" t="s">
        <v>265</v>
      </c>
      <c r="B38" s="52">
        <v>99254</v>
      </c>
      <c r="C38" s="32" t="s">
        <v>165</v>
      </c>
      <c r="D38" s="32" t="s">
        <v>303</v>
      </c>
      <c r="E38" s="28" t="s">
        <v>164</v>
      </c>
      <c r="F38" s="53">
        <f>'Mem. Cálc. - P.O'!J161</f>
        <v>1.83</v>
      </c>
      <c r="G38" s="8" t="s">
        <v>32</v>
      </c>
      <c r="H38" s="29"/>
      <c r="I38" s="29">
        <f t="shared" si="5"/>
        <v>0</v>
      </c>
      <c r="J38" s="29">
        <f t="shared" si="4"/>
        <v>0</v>
      </c>
    </row>
    <row r="39" spans="1:18" ht="25.5" customHeight="1" x14ac:dyDescent="0.25">
      <c r="A39" s="35" t="s">
        <v>266</v>
      </c>
      <c r="B39" s="88" t="s">
        <v>309</v>
      </c>
      <c r="C39" s="32" t="s">
        <v>233</v>
      </c>
      <c r="D39" s="32" t="s">
        <v>303</v>
      </c>
      <c r="E39" s="28" t="s">
        <v>171</v>
      </c>
      <c r="F39" s="53">
        <f>'Mem. Cálc. - P.O'!J166</f>
        <v>9.8000000000000007</v>
      </c>
      <c r="G39" s="8" t="s">
        <v>29</v>
      </c>
      <c r="H39" s="29"/>
      <c r="I39" s="29">
        <f t="shared" si="5"/>
        <v>0</v>
      </c>
      <c r="J39" s="29">
        <f t="shared" si="4"/>
        <v>0</v>
      </c>
    </row>
    <row r="40" spans="1:18" ht="16.5" customHeight="1" x14ac:dyDescent="0.25">
      <c r="A40" s="100" t="str">
        <f>"TOTAL (Item "&amp;A28&amp;"):"</f>
        <v>TOTAL (Item 5):</v>
      </c>
      <c r="B40" s="100"/>
      <c r="C40" s="100"/>
      <c r="D40" s="100"/>
      <c r="E40" s="100"/>
      <c r="F40" s="100"/>
      <c r="G40" s="100"/>
      <c r="H40" s="100"/>
      <c r="I40" s="100"/>
      <c r="J40" s="65">
        <f>SUM(J29:J39)</f>
        <v>0</v>
      </c>
    </row>
    <row r="41" spans="1:18" s="1" customFormat="1" ht="16.5" customHeight="1" x14ac:dyDescent="0.25">
      <c r="A41" s="33">
        <v>6</v>
      </c>
      <c r="B41" s="34"/>
      <c r="C41" s="34"/>
      <c r="D41" s="34"/>
      <c r="E41" s="106" t="s">
        <v>52</v>
      </c>
      <c r="F41" s="106"/>
      <c r="G41" s="106"/>
      <c r="H41" s="106"/>
      <c r="I41" s="106"/>
      <c r="J41" s="106"/>
      <c r="L41" s="7"/>
      <c r="M41" s="31"/>
      <c r="N41" s="31"/>
      <c r="R41" s="14"/>
    </row>
    <row r="42" spans="1:18" ht="25.5" customHeight="1" x14ac:dyDescent="0.25">
      <c r="A42" s="16" t="s">
        <v>267</v>
      </c>
      <c r="B42" s="88" t="s">
        <v>79</v>
      </c>
      <c r="C42" s="32" t="s">
        <v>242</v>
      </c>
      <c r="D42" s="32" t="s">
        <v>304</v>
      </c>
      <c r="E42" s="28" t="s">
        <v>139</v>
      </c>
      <c r="F42" s="53">
        <f>'Mem. Cálc. - P.O'!J171</f>
        <v>2017.4</v>
      </c>
      <c r="G42" s="8" t="s">
        <v>29</v>
      </c>
      <c r="H42" s="29"/>
      <c r="I42" s="29">
        <f t="shared" ref="I42:I43" si="6">H42*1.3038</f>
        <v>0</v>
      </c>
      <c r="J42" s="29">
        <f t="shared" ref="J42:J50" si="7">F42*I42</f>
        <v>0</v>
      </c>
      <c r="L42" s="30"/>
      <c r="M42" s="30"/>
    </row>
    <row r="43" spans="1:18" ht="25.5" customHeight="1" x14ac:dyDescent="0.25">
      <c r="A43" s="16" t="s">
        <v>268</v>
      </c>
      <c r="B43" s="52" t="s">
        <v>140</v>
      </c>
      <c r="C43" s="32" t="s">
        <v>242</v>
      </c>
      <c r="D43" s="32" t="s">
        <v>304</v>
      </c>
      <c r="E43" s="28" t="s">
        <v>141</v>
      </c>
      <c r="F43" s="53">
        <f>'Mem. Cálc. - P.O'!J175</f>
        <v>403.48</v>
      </c>
      <c r="G43" s="8" t="s">
        <v>30</v>
      </c>
      <c r="H43" s="29"/>
      <c r="I43" s="29">
        <f t="shared" si="6"/>
        <v>0</v>
      </c>
      <c r="J43" s="29">
        <f t="shared" si="7"/>
        <v>0</v>
      </c>
      <c r="L43" s="30"/>
      <c r="M43" s="30"/>
    </row>
    <row r="44" spans="1:18" ht="25.5" customHeight="1" x14ac:dyDescent="0.25">
      <c r="A44" s="16" t="s">
        <v>269</v>
      </c>
      <c r="B44" s="52">
        <v>97918</v>
      </c>
      <c r="C44" s="32" t="s">
        <v>165</v>
      </c>
      <c r="D44" s="32" t="s">
        <v>304</v>
      </c>
      <c r="E44" s="28" t="s">
        <v>241</v>
      </c>
      <c r="F44" s="53">
        <f>'Mem. Cálc. - P.O'!J179</f>
        <v>2177.29</v>
      </c>
      <c r="G44" s="8" t="s">
        <v>142</v>
      </c>
      <c r="H44" s="29"/>
      <c r="I44" s="29">
        <f t="shared" ref="I44:I50" si="8">H44*1.3038</f>
        <v>0</v>
      </c>
      <c r="J44" s="29">
        <f t="shared" si="7"/>
        <v>0</v>
      </c>
      <c r="L44" s="30"/>
      <c r="M44" s="30"/>
    </row>
    <row r="45" spans="1:18" ht="25.5" customHeight="1" x14ac:dyDescent="0.25">
      <c r="A45" s="16" t="s">
        <v>270</v>
      </c>
      <c r="B45" s="52">
        <v>100576</v>
      </c>
      <c r="C45" s="32" t="s">
        <v>165</v>
      </c>
      <c r="D45" s="32" t="s">
        <v>305</v>
      </c>
      <c r="E45" s="28" t="s">
        <v>311</v>
      </c>
      <c r="F45" s="53">
        <f>'Mem. Cálc. - P.O'!J240</f>
        <v>2017.4</v>
      </c>
      <c r="G45" s="8" t="s">
        <v>29</v>
      </c>
      <c r="H45" s="29"/>
      <c r="I45" s="29">
        <f t="shared" si="8"/>
        <v>0</v>
      </c>
      <c r="J45" s="29">
        <f t="shared" si="7"/>
        <v>0</v>
      </c>
      <c r="L45" s="30"/>
      <c r="M45" s="30"/>
    </row>
    <row r="46" spans="1:18" ht="25.5" customHeight="1" x14ac:dyDescent="0.25">
      <c r="A46" s="16" t="s">
        <v>271</v>
      </c>
      <c r="B46" s="52" t="s">
        <v>149</v>
      </c>
      <c r="C46" s="32" t="s">
        <v>242</v>
      </c>
      <c r="D46" s="32" t="s">
        <v>305</v>
      </c>
      <c r="E46" s="28" t="s">
        <v>150</v>
      </c>
      <c r="F46" s="53">
        <f>'Mem. Cálc. - P.O'!J244</f>
        <v>12</v>
      </c>
      <c r="G46" s="8" t="s">
        <v>32</v>
      </c>
      <c r="H46" s="29"/>
      <c r="I46" s="29">
        <f t="shared" si="8"/>
        <v>0</v>
      </c>
      <c r="J46" s="29">
        <f t="shared" si="7"/>
        <v>0</v>
      </c>
      <c r="L46" s="30"/>
      <c r="M46" s="30"/>
    </row>
    <row r="47" spans="1:18" ht="25.5" customHeight="1" x14ac:dyDescent="0.25">
      <c r="A47" s="16" t="s">
        <v>272</v>
      </c>
      <c r="B47" s="52">
        <v>94274</v>
      </c>
      <c r="C47" s="32" t="s">
        <v>165</v>
      </c>
      <c r="D47" s="32" t="s">
        <v>306</v>
      </c>
      <c r="E47" s="28" t="s">
        <v>152</v>
      </c>
      <c r="F47" s="53">
        <f>'Mem. Cálc. - P.O'!J192</f>
        <v>73.63</v>
      </c>
      <c r="G47" s="8" t="s">
        <v>32</v>
      </c>
      <c r="H47" s="29"/>
      <c r="I47" s="29">
        <f t="shared" si="8"/>
        <v>0</v>
      </c>
      <c r="J47" s="29">
        <f t="shared" si="7"/>
        <v>0</v>
      </c>
      <c r="L47" s="30"/>
      <c r="M47" s="30"/>
    </row>
    <row r="48" spans="1:18" ht="25.5" customHeight="1" x14ac:dyDescent="0.25">
      <c r="A48" s="16" t="s">
        <v>273</v>
      </c>
      <c r="B48" s="52">
        <v>92407</v>
      </c>
      <c r="C48" s="32" t="s">
        <v>165</v>
      </c>
      <c r="D48" s="32" t="s">
        <v>305</v>
      </c>
      <c r="E48" s="28" t="s">
        <v>237</v>
      </c>
      <c r="F48" s="53">
        <f>'Mem. Cálc. - P.O'!J248</f>
        <v>2017.4</v>
      </c>
      <c r="G48" s="8" t="s">
        <v>29</v>
      </c>
      <c r="H48" s="29"/>
      <c r="I48" s="29">
        <f t="shared" si="8"/>
        <v>0</v>
      </c>
      <c r="J48" s="29">
        <f t="shared" si="7"/>
        <v>0</v>
      </c>
      <c r="L48" s="30"/>
      <c r="M48" s="30"/>
    </row>
    <row r="49" spans="1:13" ht="25.5" customHeight="1" x14ac:dyDescent="0.25">
      <c r="A49" s="16" t="s">
        <v>274</v>
      </c>
      <c r="B49" s="52">
        <v>94288</v>
      </c>
      <c r="C49" s="32" t="s">
        <v>165</v>
      </c>
      <c r="D49" s="32" t="s">
        <v>307</v>
      </c>
      <c r="E49" s="28" t="s">
        <v>238</v>
      </c>
      <c r="F49" s="53">
        <f>'Mem. Cálc. - P.O'!J197</f>
        <v>580.15</v>
      </c>
      <c r="G49" s="8" t="s">
        <v>32</v>
      </c>
      <c r="H49" s="29"/>
      <c r="I49" s="29">
        <f t="shared" si="8"/>
        <v>0</v>
      </c>
      <c r="J49" s="29">
        <f t="shared" si="7"/>
        <v>0</v>
      </c>
      <c r="L49" s="30"/>
      <c r="M49" s="30"/>
    </row>
    <row r="50" spans="1:13" ht="25.5" customHeight="1" x14ac:dyDescent="0.25">
      <c r="A50" s="16" t="s">
        <v>275</v>
      </c>
      <c r="B50" s="52">
        <v>102501</v>
      </c>
      <c r="C50" s="32" t="s">
        <v>165</v>
      </c>
      <c r="D50" s="32" t="s">
        <v>308</v>
      </c>
      <c r="E50" s="28" t="s">
        <v>236</v>
      </c>
      <c r="F50" s="53">
        <f>'Mem. Cálc. - P.O'!J211</f>
        <v>57.55</v>
      </c>
      <c r="G50" s="8" t="s">
        <v>29</v>
      </c>
      <c r="H50" s="29"/>
      <c r="I50" s="29">
        <f t="shared" si="8"/>
        <v>0</v>
      </c>
      <c r="J50" s="29">
        <f t="shared" si="7"/>
        <v>0</v>
      </c>
      <c r="L50" s="30"/>
      <c r="M50" s="30"/>
    </row>
    <row r="51" spans="1:13" ht="16.5" customHeight="1" x14ac:dyDescent="0.25">
      <c r="A51" s="100" t="str">
        <f>"SUB-TOTAL (Item "&amp;A9&amp;"):"</f>
        <v>SUB-TOTAL (Item Item):</v>
      </c>
      <c r="B51" s="100"/>
      <c r="C51" s="100"/>
      <c r="D51" s="100"/>
      <c r="E51" s="100"/>
      <c r="F51" s="100"/>
      <c r="G51" s="100"/>
      <c r="H51" s="100"/>
      <c r="I51" s="100"/>
      <c r="J51" s="36">
        <f>SUM(J42:J50)</f>
        <v>0</v>
      </c>
    </row>
    <row r="52" spans="1:13" ht="16.5" customHeight="1" x14ac:dyDescent="0.25">
      <c r="A52" s="101" t="s">
        <v>51</v>
      </c>
      <c r="B52" s="101"/>
      <c r="C52" s="101"/>
      <c r="D52" s="101"/>
      <c r="E52" s="101"/>
      <c r="F52" s="101"/>
      <c r="G52" s="101"/>
      <c r="H52" s="101"/>
      <c r="I52" s="101"/>
      <c r="J52" s="66">
        <f>J13+J20+J23+J27+J40+J51</f>
        <v>0</v>
      </c>
      <c r="K52" s="30"/>
    </row>
    <row r="53" spans="1:13" ht="16.5" customHeight="1" x14ac:dyDescent="0.25">
      <c r="A53" s="102" t="s">
        <v>50</v>
      </c>
      <c r="B53" s="103"/>
      <c r="C53" s="103"/>
      <c r="D53" s="103"/>
      <c r="E53" s="103"/>
      <c r="F53" s="103"/>
      <c r="G53" s="103"/>
      <c r="H53" s="103"/>
      <c r="I53" s="103"/>
      <c r="J53" s="104"/>
    </row>
    <row r="54" spans="1:13" ht="21" customHeight="1" x14ac:dyDescent="0.25">
      <c r="A54" s="94" t="s">
        <v>49</v>
      </c>
      <c r="B54" s="95"/>
      <c r="C54" s="95"/>
      <c r="D54" s="95"/>
      <c r="E54" s="95"/>
      <c r="F54" s="95"/>
      <c r="G54" s="95"/>
      <c r="H54" s="95"/>
      <c r="I54" s="95"/>
      <c r="J54" s="96"/>
    </row>
    <row r="55" spans="1:13" ht="25.5" customHeight="1" x14ac:dyDescent="0.25">
      <c r="A55" s="94" t="s">
        <v>48</v>
      </c>
      <c r="B55" s="95"/>
      <c r="C55" s="95"/>
      <c r="D55" s="95"/>
      <c r="E55" s="95"/>
      <c r="F55" s="95"/>
      <c r="G55" s="95"/>
      <c r="H55" s="95"/>
      <c r="I55" s="95"/>
      <c r="J55" s="96"/>
    </row>
    <row r="56" spans="1:13" ht="16.5" customHeight="1" x14ac:dyDescent="0.25">
      <c r="A56" s="94" t="s">
        <v>47</v>
      </c>
      <c r="B56" s="95"/>
      <c r="C56" s="95"/>
      <c r="D56" s="95"/>
      <c r="E56" s="95"/>
      <c r="F56" s="95"/>
      <c r="G56" s="95"/>
      <c r="H56" s="95"/>
      <c r="I56" s="95"/>
      <c r="J56" s="96"/>
    </row>
    <row r="57" spans="1:13" ht="25.5" customHeight="1" x14ac:dyDescent="0.25">
      <c r="A57" s="94" t="s">
        <v>46</v>
      </c>
      <c r="B57" s="95"/>
      <c r="C57" s="95"/>
      <c r="D57" s="95"/>
      <c r="E57" s="95"/>
      <c r="F57" s="95"/>
      <c r="G57" s="95"/>
      <c r="H57" s="95"/>
      <c r="I57" s="95"/>
      <c r="J57" s="96"/>
    </row>
    <row r="58" spans="1:13" ht="24" customHeight="1" x14ac:dyDescent="0.25">
      <c r="A58" s="94" t="s">
        <v>45</v>
      </c>
      <c r="B58" s="95"/>
      <c r="C58" s="95"/>
      <c r="D58" s="95"/>
      <c r="E58" s="95"/>
      <c r="F58" s="95"/>
      <c r="G58" s="95"/>
      <c r="H58" s="95"/>
      <c r="I58" s="95"/>
      <c r="J58" s="96"/>
    </row>
    <row r="59" spans="1:13" ht="16.5" customHeight="1" x14ac:dyDescent="0.25">
      <c r="A59" s="94" t="s">
        <v>44</v>
      </c>
      <c r="B59" s="95"/>
      <c r="C59" s="95"/>
      <c r="D59" s="95"/>
      <c r="E59" s="95"/>
      <c r="F59" s="95"/>
      <c r="G59" s="95"/>
      <c r="H59" s="95"/>
      <c r="I59" s="95"/>
      <c r="J59" s="96"/>
    </row>
    <row r="60" spans="1:13" ht="24.75" customHeight="1" x14ac:dyDescent="0.25">
      <c r="A60" s="94" t="s">
        <v>43</v>
      </c>
      <c r="B60" s="95"/>
      <c r="C60" s="95"/>
      <c r="D60" s="95"/>
      <c r="E60" s="95"/>
      <c r="F60" s="95"/>
      <c r="G60" s="95"/>
      <c r="H60" s="95"/>
      <c r="I60" s="95"/>
      <c r="J60" s="96"/>
    </row>
    <row r="61" spans="1:13" ht="25.5" customHeight="1" x14ac:dyDescent="0.25">
      <c r="A61" s="97" t="s">
        <v>42</v>
      </c>
      <c r="B61" s="98"/>
      <c r="C61" s="98"/>
      <c r="D61" s="98"/>
      <c r="E61" s="98"/>
      <c r="F61" s="98"/>
      <c r="G61" s="98"/>
      <c r="H61" s="98"/>
      <c r="I61" s="98"/>
      <c r="J61" s="99"/>
    </row>
  </sheetData>
  <mergeCells count="31">
    <mergeCell ref="E28:J28"/>
    <mergeCell ref="A51:I51"/>
    <mergeCell ref="A61:J61"/>
    <mergeCell ref="E41:J41"/>
    <mergeCell ref="A40:I40"/>
    <mergeCell ref="A52:I52"/>
    <mergeCell ref="A53:J53"/>
    <mergeCell ref="A54:J54"/>
    <mergeCell ref="A55:J55"/>
    <mergeCell ref="A56:J56"/>
    <mergeCell ref="A57:J57"/>
    <mergeCell ref="A58:J58"/>
    <mergeCell ref="A59:J59"/>
    <mergeCell ref="A60:J60"/>
    <mergeCell ref="A8:J8"/>
    <mergeCell ref="E10:J10"/>
    <mergeCell ref="A13:I13"/>
    <mergeCell ref="E14:J14"/>
    <mergeCell ref="A1:J3"/>
    <mergeCell ref="A4:J4"/>
    <mergeCell ref="A5:J5"/>
    <mergeCell ref="A6:B7"/>
    <mergeCell ref="H6:H7"/>
    <mergeCell ref="I6:I7"/>
    <mergeCell ref="J6:J7"/>
    <mergeCell ref="C6:G7"/>
    <mergeCell ref="E21:J21"/>
    <mergeCell ref="A23:I23"/>
    <mergeCell ref="E24:J24"/>
    <mergeCell ref="A27:I27"/>
    <mergeCell ref="A20:I20"/>
  </mergeCells>
  <phoneticPr fontId="16" type="noConversion"/>
  <pageMargins left="0.19685039370078741" right="0.19685039370078741" top="0.19685039370078741" bottom="1.1811023622047245" header="0.31496062992125984" footer="0.31496062992125984"/>
  <pageSetup paperSize="9" scale="66" fitToHeight="0" orientation="landscape" verticalDpi="4294967295" r:id="rId1"/>
  <headerFooter>
    <oddFooter>Página &amp;P de &amp;N</oddFooter>
  </headerFooter>
  <rowBreaks count="1" manualBreakCount="1">
    <brk id="3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8"/>
  <sheetViews>
    <sheetView view="pageBreakPreview" zoomScaleNormal="100" zoomScaleSheetLayoutView="100" workbookViewId="0">
      <selection activeCell="P183" sqref="M175:P183"/>
    </sheetView>
  </sheetViews>
  <sheetFormatPr defaultRowHeight="16.5" customHeight="1" x14ac:dyDescent="0.25"/>
  <cols>
    <col min="1" max="1" width="14.7109375" style="13" customWidth="1"/>
    <col min="2" max="2" width="31.5703125" style="13" customWidth="1"/>
    <col min="3" max="10" width="14.7109375" style="13" customWidth="1"/>
    <col min="11" max="11" width="9.140625" style="13"/>
    <col min="12" max="12" width="11.28515625" style="13" bestFit="1" customWidth="1"/>
    <col min="13" max="16384" width="9.140625" style="13"/>
  </cols>
  <sheetData>
    <row r="1" spans="1:10" s="1" customFormat="1" ht="16.5" customHeight="1" x14ac:dyDescent="0.2">
      <c r="A1" s="167" t="s">
        <v>26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s="1" customFormat="1" ht="16.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10" s="1" customFormat="1" ht="16.5" customHeight="1" x14ac:dyDescent="0.2">
      <c r="A3" s="167"/>
      <c r="B3" s="167"/>
      <c r="C3" s="167"/>
      <c r="D3" s="167"/>
      <c r="E3" s="167"/>
      <c r="F3" s="167"/>
      <c r="G3" s="167"/>
      <c r="H3" s="167"/>
      <c r="I3" s="167"/>
      <c r="J3" s="167"/>
    </row>
    <row r="4" spans="1:10" s="1" customFormat="1" ht="16.5" customHeight="1" x14ac:dyDescent="0.2">
      <c r="A4" s="168" t="str">
        <f>'Plan. Orçamentária'!A4:J4</f>
        <v>ANEXO IX - OBRA POR EXECUÇÃO INDIRETA</v>
      </c>
      <c r="B4" s="168"/>
      <c r="C4" s="168"/>
      <c r="D4" s="168"/>
      <c r="E4" s="168"/>
      <c r="F4" s="168"/>
      <c r="G4" s="168"/>
      <c r="H4" s="168"/>
      <c r="I4" s="168"/>
      <c r="J4" s="168"/>
    </row>
    <row r="5" spans="1:10" s="1" customFormat="1" ht="16.5" customHeight="1" x14ac:dyDescent="0.2">
      <c r="A5" s="110" t="str">
        <f>'Plan. Orçamentária'!A5</f>
        <v>Setor requisitante: Secretaria Municipal de Obras e Serviços Urbanos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0" s="1" customFormat="1" ht="16.5" customHeight="1" x14ac:dyDescent="0.2">
      <c r="A6" s="110" t="str">
        <f>'Plan. Orçamentária'!A6</f>
        <v>Objeto:</v>
      </c>
      <c r="B6" s="169" t="str">
        <f>'Plan. Orçamentária'!C6</f>
        <v>Pavimentação de via em piso de concreto pré-moldado intertravado, tipo Pavi-s - Rua Artur de Araújo, bairro São José - Nova Era/MG              Convênio SICONV Nº 920268/2021, Operação Nº 1079841-34</v>
      </c>
      <c r="C6" s="169"/>
      <c r="D6" s="169"/>
      <c r="E6" s="169"/>
      <c r="F6" s="169"/>
      <c r="G6" s="169"/>
      <c r="H6" s="111" t="str">
        <f>'Plan. Orçamentária'!H6</f>
        <v>BDI:</v>
      </c>
      <c r="I6" s="170">
        <f>'Plan. Orçamentária'!I6</f>
        <v>0.30380000000000001</v>
      </c>
      <c r="J6" s="171" t="str">
        <f>'Plan. Orçamentária'!J6</f>
        <v>30//08/2022</v>
      </c>
    </row>
    <row r="7" spans="1:10" s="1" customFormat="1" ht="16.5" customHeight="1" x14ac:dyDescent="0.2">
      <c r="A7" s="110"/>
      <c r="B7" s="169"/>
      <c r="C7" s="169"/>
      <c r="D7" s="169"/>
      <c r="E7" s="169"/>
      <c r="F7" s="169"/>
      <c r="G7" s="169"/>
      <c r="H7" s="111"/>
      <c r="I7" s="110"/>
      <c r="J7" s="171"/>
    </row>
    <row r="8" spans="1:10" s="1" customFormat="1" ht="16.5" customHeight="1" x14ac:dyDescent="0.2">
      <c r="A8" s="168" t="s">
        <v>11</v>
      </c>
      <c r="B8" s="168"/>
      <c r="C8" s="168"/>
      <c r="D8" s="168"/>
      <c r="E8" s="168"/>
      <c r="F8" s="168"/>
      <c r="G8" s="168"/>
      <c r="H8" s="168"/>
      <c r="I8" s="168"/>
      <c r="J8" s="168"/>
    </row>
    <row r="9" spans="1:10" s="1" customFormat="1" ht="16.5" customHeight="1" x14ac:dyDescent="0.2">
      <c r="A9" s="64">
        <f>'Plan. Orçamentária'!A10</f>
        <v>1</v>
      </c>
      <c r="B9" s="172" t="str">
        <f>'Plan. Orçamentária'!E10</f>
        <v>MOBILIZAÇÃO E DESMOBILIZAÇÃO</v>
      </c>
      <c r="C9" s="172"/>
      <c r="D9" s="172"/>
      <c r="E9" s="172"/>
      <c r="F9" s="172"/>
      <c r="G9" s="172"/>
      <c r="H9" s="172"/>
      <c r="I9" s="172"/>
      <c r="J9" s="172"/>
    </row>
    <row r="10" spans="1:10" s="1" customFormat="1" ht="16.5" customHeight="1" x14ac:dyDescent="0.2">
      <c r="A10" s="125" t="s">
        <v>12</v>
      </c>
      <c r="B10" s="125"/>
      <c r="C10" s="125"/>
      <c r="D10" s="126" t="s">
        <v>22</v>
      </c>
      <c r="E10" s="126"/>
      <c r="F10" s="126" t="s">
        <v>23</v>
      </c>
      <c r="G10" s="126"/>
      <c r="H10" s="126" t="s">
        <v>277</v>
      </c>
      <c r="I10" s="126"/>
      <c r="J10" s="126"/>
    </row>
    <row r="11" spans="1:10" s="1" customFormat="1" ht="16.5" customHeight="1" x14ac:dyDescent="0.2">
      <c r="A11" s="125"/>
      <c r="B11" s="125"/>
      <c r="C11" s="125"/>
      <c r="D11" s="126"/>
      <c r="E11" s="126"/>
      <c r="F11" s="126"/>
      <c r="G11" s="126"/>
      <c r="H11" s="126"/>
      <c r="I11" s="126"/>
      <c r="J11" s="126"/>
    </row>
    <row r="12" spans="1:10" s="1" customFormat="1" ht="16.5" customHeight="1" x14ac:dyDescent="0.2">
      <c r="A12" s="125"/>
      <c r="B12" s="125"/>
      <c r="C12" s="125"/>
      <c r="D12" s="126"/>
      <c r="E12" s="126"/>
      <c r="F12" s="126"/>
      <c r="G12" s="126"/>
      <c r="H12" s="126"/>
      <c r="I12" s="126"/>
      <c r="J12" s="126"/>
    </row>
    <row r="13" spans="1:10" s="1" customFormat="1" ht="16.5" customHeight="1" x14ac:dyDescent="0.2">
      <c r="A13" s="181">
        <v>0.5</v>
      </c>
      <c r="B13" s="181"/>
      <c r="C13" s="181"/>
      <c r="D13" s="182">
        <f>'Plan. Orçamentária'!J20+'Plan. Orçamentária'!J23+'Plan. Orçamentária'!J27+'Plan. Orçamentária'!J40+'Plan. Orçamentária'!J51</f>
        <v>0</v>
      </c>
      <c r="E13" s="182"/>
      <c r="F13" s="182">
        <f>D13/1.3038</f>
        <v>0</v>
      </c>
      <c r="G13" s="182"/>
      <c r="H13" s="182">
        <f>(F13*A13)/100</f>
        <v>0</v>
      </c>
      <c r="I13" s="182"/>
      <c r="J13" s="182"/>
    </row>
    <row r="14" spans="1:10" s="1" customFormat="1" ht="16.5" customHeight="1" x14ac:dyDescent="0.2">
      <c r="A14" s="143" t="s">
        <v>284</v>
      </c>
      <c r="B14" s="144"/>
      <c r="C14" s="144"/>
      <c r="D14" s="144"/>
      <c r="E14" s="144"/>
      <c r="F14" s="144"/>
      <c r="G14" s="144"/>
      <c r="H14" s="144"/>
      <c r="I14" s="144"/>
      <c r="J14" s="145"/>
    </row>
    <row r="15" spans="1:10" s="1" customFormat="1" ht="16.5" customHeight="1" x14ac:dyDescent="0.2">
      <c r="A15" s="17" t="str">
        <f>'Plan. Orçamentária'!A11</f>
        <v>1.1</v>
      </c>
      <c r="B15" s="173" t="s">
        <v>278</v>
      </c>
      <c r="C15" s="174"/>
      <c r="D15" s="174"/>
      <c r="E15" s="174"/>
      <c r="F15" s="174"/>
      <c r="G15" s="174"/>
      <c r="H15" s="174"/>
      <c r="I15" s="174"/>
      <c r="J15" s="175"/>
    </row>
    <row r="16" spans="1:10" s="1" customFormat="1" ht="16.5" customHeight="1" x14ac:dyDescent="0.2">
      <c r="A16" s="125" t="s">
        <v>12</v>
      </c>
      <c r="B16" s="125"/>
      <c r="C16" s="125"/>
      <c r="D16" s="62" t="s">
        <v>13</v>
      </c>
      <c r="E16" s="62" t="s">
        <v>14</v>
      </c>
      <c r="F16" s="62" t="s">
        <v>15</v>
      </c>
      <c r="G16" s="62" t="s">
        <v>16</v>
      </c>
      <c r="H16" s="62" t="s">
        <v>17</v>
      </c>
      <c r="I16" s="62" t="s">
        <v>18</v>
      </c>
      <c r="J16" s="62" t="s">
        <v>19</v>
      </c>
    </row>
    <row r="17" spans="1:10" s="1" customFormat="1" ht="16.5" customHeight="1" x14ac:dyDescent="0.2">
      <c r="A17" s="141" t="s">
        <v>173</v>
      </c>
      <c r="B17" s="141"/>
      <c r="C17" s="141"/>
      <c r="D17" s="5"/>
      <c r="E17" s="5"/>
      <c r="F17" s="5"/>
      <c r="G17" s="5">
        <v>0.7</v>
      </c>
      <c r="H17" s="5"/>
      <c r="I17" s="5"/>
      <c r="J17" s="5">
        <f>((PRODUCT(D17:H17))-I17)</f>
        <v>0.7</v>
      </c>
    </row>
    <row r="18" spans="1:10" ht="16.5" customHeight="1" x14ac:dyDescent="0.25">
      <c r="A18" s="100" t="str">
        <f>"TOTAL - "&amp;'Plan. Orçamentária'!G11</f>
        <v>TOTAL - VB</v>
      </c>
      <c r="B18" s="100"/>
      <c r="C18" s="100"/>
      <c r="D18" s="100"/>
      <c r="E18" s="100"/>
      <c r="F18" s="100"/>
      <c r="G18" s="100"/>
      <c r="H18" s="100"/>
      <c r="I18" s="100"/>
      <c r="J18" s="55">
        <f>SUM(J17:J17)</f>
        <v>0.7</v>
      </c>
    </row>
    <row r="19" spans="1:10" ht="16.5" customHeight="1" x14ac:dyDescent="0.25">
      <c r="A19" s="143" t="s">
        <v>285</v>
      </c>
      <c r="B19" s="144"/>
      <c r="C19" s="144"/>
      <c r="D19" s="144"/>
      <c r="E19" s="144"/>
      <c r="F19" s="144"/>
      <c r="G19" s="144"/>
      <c r="H19" s="144"/>
      <c r="I19" s="144"/>
      <c r="J19" s="145"/>
    </row>
    <row r="20" spans="1:10" ht="16.5" customHeight="1" x14ac:dyDescent="0.25">
      <c r="A20" s="17" t="s">
        <v>38</v>
      </c>
      <c r="B20" s="173" t="s">
        <v>276</v>
      </c>
      <c r="C20" s="174"/>
      <c r="D20" s="174"/>
      <c r="E20" s="174"/>
      <c r="F20" s="174"/>
      <c r="G20" s="174"/>
      <c r="H20" s="174"/>
      <c r="I20" s="174"/>
      <c r="J20" s="175"/>
    </row>
    <row r="21" spans="1:10" ht="16.5" customHeight="1" x14ac:dyDescent="0.25">
      <c r="A21" s="125" t="s">
        <v>12</v>
      </c>
      <c r="B21" s="125"/>
      <c r="C21" s="125"/>
      <c r="D21" s="86" t="s">
        <v>13</v>
      </c>
      <c r="E21" s="86" t="s">
        <v>14</v>
      </c>
      <c r="F21" s="86" t="s">
        <v>15</v>
      </c>
      <c r="G21" s="86" t="s">
        <v>16</v>
      </c>
      <c r="H21" s="86" t="s">
        <v>17</v>
      </c>
      <c r="I21" s="86" t="s">
        <v>18</v>
      </c>
      <c r="J21" s="86" t="s">
        <v>19</v>
      </c>
    </row>
    <row r="22" spans="1:10" ht="16.5" customHeight="1" x14ac:dyDescent="0.25">
      <c r="A22" s="141" t="s">
        <v>174</v>
      </c>
      <c r="B22" s="141"/>
      <c r="C22" s="141"/>
      <c r="D22" s="5"/>
      <c r="E22" s="5"/>
      <c r="F22" s="5"/>
      <c r="G22" s="5">
        <v>0.3</v>
      </c>
      <c r="H22" s="5"/>
      <c r="I22" s="5"/>
      <c r="J22" s="5">
        <f>((PRODUCT(D22:H22))-I22)</f>
        <v>0.3</v>
      </c>
    </row>
    <row r="23" spans="1:10" ht="16.5" customHeight="1" x14ac:dyDescent="0.25">
      <c r="A23" s="100" t="str">
        <f>"TOTAL - "&amp;'Plan. Orçamentária'!G11</f>
        <v>TOTAL - VB</v>
      </c>
      <c r="B23" s="100"/>
      <c r="C23" s="100"/>
      <c r="D23" s="100"/>
      <c r="E23" s="100"/>
      <c r="F23" s="100"/>
      <c r="G23" s="100"/>
      <c r="H23" s="100"/>
      <c r="I23" s="100"/>
      <c r="J23" s="55">
        <f>SUM(J22)</f>
        <v>0.3</v>
      </c>
    </row>
    <row r="24" spans="1:10" ht="16.5" customHeight="1" x14ac:dyDescent="0.25">
      <c r="A24" s="143" t="s">
        <v>286</v>
      </c>
      <c r="B24" s="144"/>
      <c r="C24" s="144"/>
      <c r="D24" s="144"/>
      <c r="E24" s="144"/>
      <c r="F24" s="144"/>
      <c r="G24" s="144"/>
      <c r="H24" s="144"/>
      <c r="I24" s="144"/>
      <c r="J24" s="145"/>
    </row>
    <row r="25" spans="1:10" s="1" customFormat="1" ht="16.5" customHeight="1" x14ac:dyDescent="0.2">
      <c r="A25" s="17" t="str">
        <f>'Plan. Orçamentária'!A22</f>
        <v>3.1</v>
      </c>
      <c r="B25" s="133" t="str">
        <f>'Plan. Orçamentária'!E22</f>
        <v>Administração local da obra</v>
      </c>
      <c r="C25" s="133"/>
      <c r="D25" s="133"/>
      <c r="E25" s="133"/>
      <c r="F25" s="133"/>
      <c r="G25" s="133"/>
      <c r="H25" s="133"/>
      <c r="I25" s="133"/>
      <c r="J25" s="133"/>
    </row>
    <row r="26" spans="1:10" s="1" customFormat="1" ht="16.5" customHeight="1" x14ac:dyDescent="0.2">
      <c r="A26" s="178" t="s">
        <v>281</v>
      </c>
      <c r="B26" s="179"/>
      <c r="C26" s="179"/>
      <c r="D26" s="179"/>
      <c r="E26" s="179"/>
      <c r="F26" s="179"/>
      <c r="G26" s="179"/>
      <c r="H26" s="179"/>
      <c r="I26" s="179"/>
      <c r="J26" s="180"/>
    </row>
    <row r="27" spans="1:10" s="1" customFormat="1" ht="25.5" x14ac:dyDescent="0.2">
      <c r="A27" s="125" t="s">
        <v>12</v>
      </c>
      <c r="B27" s="125"/>
      <c r="C27" s="125"/>
      <c r="D27" s="61" t="s">
        <v>13</v>
      </c>
      <c r="E27" s="61" t="s">
        <v>14</v>
      </c>
      <c r="F27" s="67" t="s">
        <v>101</v>
      </c>
      <c r="G27" s="67" t="s">
        <v>102</v>
      </c>
      <c r="H27" s="67" t="s">
        <v>103</v>
      </c>
      <c r="I27" s="67" t="s">
        <v>28</v>
      </c>
      <c r="J27" s="61" t="s">
        <v>19</v>
      </c>
    </row>
    <row r="28" spans="1:10" s="1" customFormat="1" ht="16.5" customHeight="1" x14ac:dyDescent="0.2">
      <c r="A28" s="141" t="s">
        <v>98</v>
      </c>
      <c r="B28" s="141"/>
      <c r="C28" s="141"/>
      <c r="D28" s="5"/>
      <c r="E28" s="5"/>
      <c r="F28" s="5">
        <v>1</v>
      </c>
      <c r="G28" s="5">
        <v>22</v>
      </c>
      <c r="H28" s="5">
        <v>3</v>
      </c>
      <c r="I28" s="5"/>
      <c r="J28" s="5">
        <f>((PRODUCT(D28:H28))-I28)</f>
        <v>66</v>
      </c>
    </row>
    <row r="29" spans="1:10" ht="16.5" customHeight="1" x14ac:dyDescent="0.25">
      <c r="A29" s="100" t="str">
        <f>"TOTAL - " &amp; "H"</f>
        <v>TOTAL - H</v>
      </c>
      <c r="B29" s="100"/>
      <c r="C29" s="100"/>
      <c r="D29" s="100"/>
      <c r="E29" s="100"/>
      <c r="F29" s="100"/>
      <c r="G29" s="100"/>
      <c r="H29" s="100"/>
      <c r="I29" s="100"/>
      <c r="J29" s="55">
        <f>SUM(J28)</f>
        <v>66</v>
      </c>
    </row>
    <row r="30" spans="1:10" s="1" customFormat="1" ht="14.25" x14ac:dyDescent="0.2">
      <c r="A30" s="178" t="s">
        <v>89</v>
      </c>
      <c r="B30" s="179"/>
      <c r="C30" s="179"/>
      <c r="D30" s="179"/>
      <c r="E30" s="179"/>
      <c r="F30" s="179"/>
      <c r="G30" s="179"/>
      <c r="H30" s="179"/>
      <c r="I30" s="179"/>
      <c r="J30" s="180"/>
    </row>
    <row r="31" spans="1:10" s="1" customFormat="1" ht="25.5" x14ac:dyDescent="0.2">
      <c r="A31" s="125" t="s">
        <v>12</v>
      </c>
      <c r="B31" s="125"/>
      <c r="C31" s="125"/>
      <c r="D31" s="61" t="s">
        <v>13</v>
      </c>
      <c r="E31" s="61" t="s">
        <v>14</v>
      </c>
      <c r="F31" s="67" t="s">
        <v>101</v>
      </c>
      <c r="G31" s="67" t="s">
        <v>102</v>
      </c>
      <c r="H31" s="67" t="s">
        <v>103</v>
      </c>
      <c r="I31" s="67" t="s">
        <v>28</v>
      </c>
      <c r="J31" s="61" t="s">
        <v>19</v>
      </c>
    </row>
    <row r="32" spans="1:10" s="1" customFormat="1" ht="16.5" customHeight="1" x14ac:dyDescent="0.2">
      <c r="A32" s="141" t="s">
        <v>99</v>
      </c>
      <c r="B32" s="141"/>
      <c r="C32" s="141"/>
      <c r="D32" s="5"/>
      <c r="E32" s="5"/>
      <c r="F32" s="5">
        <v>3</v>
      </c>
      <c r="G32" s="5">
        <v>22</v>
      </c>
      <c r="H32" s="5">
        <v>3</v>
      </c>
      <c r="I32" s="5"/>
      <c r="J32" s="5">
        <f>((PRODUCT(D32:H32))-I32)</f>
        <v>198</v>
      </c>
    </row>
    <row r="33" spans="1:10" ht="16.5" customHeight="1" x14ac:dyDescent="0.25">
      <c r="A33" s="100" t="str">
        <f>"TOTAL - " &amp; "H"</f>
        <v>TOTAL - H</v>
      </c>
      <c r="B33" s="100"/>
      <c r="C33" s="100"/>
      <c r="D33" s="100"/>
      <c r="E33" s="100"/>
      <c r="F33" s="100"/>
      <c r="G33" s="100"/>
      <c r="H33" s="100"/>
      <c r="I33" s="100"/>
      <c r="J33" s="55">
        <f>SUM(J32)</f>
        <v>198</v>
      </c>
    </row>
    <row r="34" spans="1:10" s="1" customFormat="1" ht="16.5" customHeight="1" x14ac:dyDescent="0.2">
      <c r="A34" s="178" t="s">
        <v>262</v>
      </c>
      <c r="B34" s="179"/>
      <c r="C34" s="179"/>
      <c r="D34" s="179"/>
      <c r="E34" s="179"/>
      <c r="F34" s="179"/>
      <c r="G34" s="179"/>
      <c r="H34" s="179"/>
      <c r="I34" s="179"/>
      <c r="J34" s="180"/>
    </row>
    <row r="35" spans="1:10" s="1" customFormat="1" ht="25.5" x14ac:dyDescent="0.2">
      <c r="A35" s="125" t="s">
        <v>12</v>
      </c>
      <c r="B35" s="125"/>
      <c r="C35" s="125"/>
      <c r="D35" s="61" t="s">
        <v>13</v>
      </c>
      <c r="E35" s="61" t="s">
        <v>14</v>
      </c>
      <c r="F35" s="67" t="s">
        <v>101</v>
      </c>
      <c r="G35" s="67" t="s">
        <v>102</v>
      </c>
      <c r="H35" s="67" t="s">
        <v>103</v>
      </c>
      <c r="I35" s="67" t="s">
        <v>28</v>
      </c>
      <c r="J35" s="61" t="s">
        <v>19</v>
      </c>
    </row>
    <row r="36" spans="1:10" s="1" customFormat="1" ht="16.5" customHeight="1" x14ac:dyDescent="0.2">
      <c r="A36" s="141" t="s">
        <v>282</v>
      </c>
      <c r="B36" s="141"/>
      <c r="C36" s="141"/>
      <c r="D36" s="5"/>
      <c r="E36" s="5"/>
      <c r="F36" s="5">
        <v>0.5</v>
      </c>
      <c r="G36" s="5">
        <v>22</v>
      </c>
      <c r="H36" s="5">
        <v>3</v>
      </c>
      <c r="I36" s="5"/>
      <c r="J36" s="5">
        <f>((PRODUCT(D36:H36))-I36)</f>
        <v>33</v>
      </c>
    </row>
    <row r="37" spans="1:10" ht="16.5" customHeight="1" x14ac:dyDescent="0.25">
      <c r="A37" s="100" t="str">
        <f>"TOTAL - " &amp; "H"</f>
        <v>TOTAL - H</v>
      </c>
      <c r="B37" s="100"/>
      <c r="C37" s="100"/>
      <c r="D37" s="100"/>
      <c r="E37" s="100"/>
      <c r="F37" s="100"/>
      <c r="G37" s="100"/>
      <c r="H37" s="100"/>
      <c r="I37" s="100"/>
      <c r="J37" s="55">
        <f>SUM(J36)</f>
        <v>33</v>
      </c>
    </row>
    <row r="38" spans="1:10" s="1" customFormat="1" ht="16.5" customHeight="1" x14ac:dyDescent="0.2">
      <c r="A38" s="178" t="s">
        <v>104</v>
      </c>
      <c r="B38" s="179"/>
      <c r="C38" s="179"/>
      <c r="D38" s="179"/>
      <c r="E38" s="179"/>
      <c r="F38" s="179"/>
      <c r="G38" s="179"/>
      <c r="H38" s="179"/>
      <c r="I38" s="179"/>
      <c r="J38" s="180"/>
    </row>
    <row r="39" spans="1:10" s="1" customFormat="1" ht="25.5" x14ac:dyDescent="0.2">
      <c r="A39" s="125" t="s">
        <v>12</v>
      </c>
      <c r="B39" s="125"/>
      <c r="C39" s="125"/>
      <c r="D39" s="61" t="s">
        <v>13</v>
      </c>
      <c r="E39" s="61" t="s">
        <v>14</v>
      </c>
      <c r="F39" s="67" t="s">
        <v>101</v>
      </c>
      <c r="G39" s="67" t="s">
        <v>102</v>
      </c>
      <c r="H39" s="67" t="s">
        <v>103</v>
      </c>
      <c r="I39" s="67" t="s">
        <v>28</v>
      </c>
      <c r="J39" s="61" t="s">
        <v>19</v>
      </c>
    </row>
    <row r="40" spans="1:10" s="1" customFormat="1" ht="16.5" customHeight="1" x14ac:dyDescent="0.2">
      <c r="A40" s="141" t="s">
        <v>105</v>
      </c>
      <c r="B40" s="141"/>
      <c r="C40" s="141"/>
      <c r="D40" s="5"/>
      <c r="E40" s="5"/>
      <c r="F40" s="5">
        <v>0.5</v>
      </c>
      <c r="G40" s="5">
        <v>22</v>
      </c>
      <c r="H40" s="5">
        <v>3</v>
      </c>
      <c r="I40" s="5"/>
      <c r="J40" s="5">
        <f>((PRODUCT(D40:H40))-I40)</f>
        <v>33</v>
      </c>
    </row>
    <row r="41" spans="1:10" ht="16.5" customHeight="1" x14ac:dyDescent="0.25">
      <c r="A41" s="100" t="str">
        <f>"TOTAL - " &amp; "H"</f>
        <v>TOTAL - H</v>
      </c>
      <c r="B41" s="100"/>
      <c r="C41" s="100"/>
      <c r="D41" s="100"/>
      <c r="E41" s="100"/>
      <c r="F41" s="100"/>
      <c r="G41" s="100"/>
      <c r="H41" s="100"/>
      <c r="I41" s="100"/>
      <c r="J41" s="55">
        <f>SUM(J40)</f>
        <v>33</v>
      </c>
    </row>
    <row r="42" spans="1:10" ht="16.5" customHeight="1" x14ac:dyDescent="0.25">
      <c r="A42" s="143" t="s">
        <v>287</v>
      </c>
      <c r="B42" s="144"/>
      <c r="C42" s="144"/>
      <c r="D42" s="144"/>
      <c r="E42" s="144"/>
      <c r="F42" s="144"/>
      <c r="G42" s="144"/>
      <c r="H42" s="144"/>
      <c r="I42" s="144"/>
      <c r="J42" s="145"/>
    </row>
    <row r="43" spans="1:10" s="1" customFormat="1" ht="24.75" customHeight="1" x14ac:dyDescent="0.2">
      <c r="A43" s="17" t="str">
        <f>'Plan. Orçamentária'!A25</f>
        <v>4.1</v>
      </c>
      <c r="B43" s="161" t="str">
        <f>'Plan. Orçamentária'!E25</f>
        <v>Placa de aço carbono com película refletiva grau técnico tipo I da ABNT, placa retangular (execução, incluindo fornecimento e transporte de todos os materiais, inclusive poste de sustentação)</v>
      </c>
      <c r="C43" s="162"/>
      <c r="D43" s="162"/>
      <c r="E43" s="162"/>
      <c r="F43" s="162"/>
      <c r="G43" s="162"/>
      <c r="H43" s="162"/>
      <c r="I43" s="162"/>
      <c r="J43" s="163"/>
    </row>
    <row r="44" spans="1:10" s="1" customFormat="1" ht="16.5" customHeight="1" x14ac:dyDescent="0.2">
      <c r="A44" s="155" t="s">
        <v>12</v>
      </c>
      <c r="B44" s="156"/>
      <c r="C44" s="157"/>
      <c r="D44" s="62" t="s">
        <v>13</v>
      </c>
      <c r="E44" s="62" t="s">
        <v>14</v>
      </c>
      <c r="F44" s="62" t="s">
        <v>15</v>
      </c>
      <c r="G44" s="62" t="s">
        <v>16</v>
      </c>
      <c r="H44" s="62" t="s">
        <v>100</v>
      </c>
      <c r="I44" s="62" t="s">
        <v>18</v>
      </c>
      <c r="J44" s="62" t="s">
        <v>19</v>
      </c>
    </row>
    <row r="45" spans="1:10" s="1" customFormat="1" ht="25.5" customHeight="1" x14ac:dyDescent="0.2">
      <c r="A45" s="164" t="s">
        <v>181</v>
      </c>
      <c r="B45" s="165"/>
      <c r="C45" s="166"/>
      <c r="D45" s="5"/>
      <c r="E45" s="5">
        <v>0.4</v>
      </c>
      <c r="F45" s="5">
        <v>1.1000000000000001</v>
      </c>
      <c r="G45" s="5">
        <v>4</v>
      </c>
      <c r="H45" s="5"/>
      <c r="I45" s="5"/>
      <c r="J45" s="5">
        <f>((PRODUCT(D45:H45))-I45)</f>
        <v>1.76</v>
      </c>
    </row>
    <row r="46" spans="1:10" ht="16.5" customHeight="1" x14ac:dyDescent="0.25">
      <c r="A46" s="158" t="str">
        <f>"TOTAL - "&amp;'Plan. Orçamentária'!G25</f>
        <v>TOTAL - M2</v>
      </c>
      <c r="B46" s="159"/>
      <c r="C46" s="159"/>
      <c r="D46" s="159"/>
      <c r="E46" s="159"/>
      <c r="F46" s="159"/>
      <c r="G46" s="159"/>
      <c r="H46" s="159"/>
      <c r="I46" s="160"/>
      <c r="J46" s="55">
        <f>SUM(J45)</f>
        <v>1.76</v>
      </c>
    </row>
    <row r="47" spans="1:10" s="1" customFormat="1" ht="16.5" customHeight="1" x14ac:dyDescent="0.2">
      <c r="A47" s="17" t="str">
        <f>'Plan. Orçamentária'!A26</f>
        <v>4.2</v>
      </c>
      <c r="B47" s="161" t="str">
        <f>'Plan. Orçamentária'!E26</f>
        <v>Cone para sinalização/isolamento de áreas, altura 75 cm, inclusive fornecimento e movimentação</v>
      </c>
      <c r="C47" s="162"/>
      <c r="D47" s="162"/>
      <c r="E47" s="162"/>
      <c r="F47" s="162"/>
      <c r="G47" s="162"/>
      <c r="H47" s="162"/>
      <c r="I47" s="162"/>
      <c r="J47" s="163"/>
    </row>
    <row r="48" spans="1:10" s="1" customFormat="1" ht="16.5" customHeight="1" x14ac:dyDescent="0.2">
      <c r="A48" s="155" t="s">
        <v>12</v>
      </c>
      <c r="B48" s="156"/>
      <c r="C48" s="157"/>
      <c r="D48" s="62" t="s">
        <v>13</v>
      </c>
      <c r="E48" s="62" t="s">
        <v>14</v>
      </c>
      <c r="F48" s="62" t="s">
        <v>15</v>
      </c>
      <c r="G48" s="62" t="s">
        <v>16</v>
      </c>
      <c r="H48" s="62" t="s">
        <v>100</v>
      </c>
      <c r="I48" s="62" t="s">
        <v>18</v>
      </c>
      <c r="J48" s="62" t="s">
        <v>19</v>
      </c>
    </row>
    <row r="49" spans="1:10" s="1" customFormat="1" ht="16.5" customHeight="1" x14ac:dyDescent="0.2">
      <c r="A49" s="149" t="s">
        <v>180</v>
      </c>
      <c r="B49" s="150"/>
      <c r="C49" s="151"/>
      <c r="D49" s="5"/>
      <c r="E49" s="5"/>
      <c r="F49" s="5"/>
      <c r="G49" s="5">
        <v>5</v>
      </c>
      <c r="H49" s="5"/>
      <c r="I49" s="5"/>
      <c r="J49" s="5">
        <f t="shared" ref="J49:J56" si="0">PRODUCT(G49:H49)-I49</f>
        <v>5</v>
      </c>
    </row>
    <row r="50" spans="1:10" s="1" customFormat="1" ht="16.5" customHeight="1" x14ac:dyDescent="0.2">
      <c r="A50" s="152"/>
      <c r="B50" s="153"/>
      <c r="C50" s="154"/>
      <c r="D50" s="5"/>
      <c r="E50" s="5"/>
      <c r="F50" s="5"/>
      <c r="G50" s="5">
        <v>10</v>
      </c>
      <c r="H50" s="5"/>
      <c r="I50" s="5"/>
      <c r="J50" s="5">
        <f t="shared" si="0"/>
        <v>10</v>
      </c>
    </row>
    <row r="51" spans="1:10" s="1" customFormat="1" ht="16.5" customHeight="1" x14ac:dyDescent="0.2">
      <c r="A51" s="164" t="s">
        <v>175</v>
      </c>
      <c r="B51" s="165"/>
      <c r="C51" s="166"/>
      <c r="D51" s="5"/>
      <c r="E51" s="5"/>
      <c r="F51" s="5"/>
      <c r="G51" s="5">
        <v>5</v>
      </c>
      <c r="H51" s="5"/>
      <c r="I51" s="5"/>
      <c r="J51" s="5">
        <f t="shared" si="0"/>
        <v>5</v>
      </c>
    </row>
    <row r="52" spans="1:10" s="1" customFormat="1" ht="16.5" customHeight="1" x14ac:dyDescent="0.2">
      <c r="A52" s="149" t="s">
        <v>176</v>
      </c>
      <c r="B52" s="150"/>
      <c r="C52" s="151"/>
      <c r="D52" s="5"/>
      <c r="E52" s="5"/>
      <c r="F52" s="5"/>
      <c r="G52" s="5">
        <v>4</v>
      </c>
      <c r="H52" s="5"/>
      <c r="I52" s="5"/>
      <c r="J52" s="5">
        <f t="shared" si="0"/>
        <v>4</v>
      </c>
    </row>
    <row r="53" spans="1:10" s="1" customFormat="1" ht="16.5" customHeight="1" x14ac:dyDescent="0.2">
      <c r="A53" s="152"/>
      <c r="B53" s="153"/>
      <c r="C53" s="154"/>
      <c r="D53" s="5"/>
      <c r="E53" s="5"/>
      <c r="F53" s="5"/>
      <c r="G53" s="5">
        <v>4</v>
      </c>
      <c r="H53" s="5"/>
      <c r="I53" s="5"/>
      <c r="J53" s="5">
        <f t="shared" si="0"/>
        <v>4</v>
      </c>
    </row>
    <row r="54" spans="1:10" s="1" customFormat="1" ht="16.5" customHeight="1" x14ac:dyDescent="0.2">
      <c r="A54" s="164" t="s">
        <v>177</v>
      </c>
      <c r="B54" s="165"/>
      <c r="C54" s="166"/>
      <c r="D54" s="5"/>
      <c r="E54" s="5"/>
      <c r="F54" s="5"/>
      <c r="G54" s="5">
        <v>5</v>
      </c>
      <c r="H54" s="5"/>
      <c r="I54" s="5"/>
      <c r="J54" s="5">
        <f t="shared" si="0"/>
        <v>5</v>
      </c>
    </row>
    <row r="55" spans="1:10" s="1" customFormat="1" ht="16.5" customHeight="1" x14ac:dyDescent="0.2">
      <c r="A55" s="164" t="s">
        <v>178</v>
      </c>
      <c r="B55" s="165"/>
      <c r="C55" s="166"/>
      <c r="D55" s="5"/>
      <c r="E55" s="5"/>
      <c r="F55" s="5"/>
      <c r="G55" s="5">
        <v>5</v>
      </c>
      <c r="H55" s="5"/>
      <c r="I55" s="5"/>
      <c r="J55" s="5">
        <f t="shared" si="0"/>
        <v>5</v>
      </c>
    </row>
    <row r="56" spans="1:10" s="1" customFormat="1" ht="16.5" customHeight="1" x14ac:dyDescent="0.2">
      <c r="A56" s="164" t="s">
        <v>179</v>
      </c>
      <c r="B56" s="165"/>
      <c r="C56" s="166"/>
      <c r="D56" s="5"/>
      <c r="E56" s="5"/>
      <c r="F56" s="5"/>
      <c r="G56" s="5">
        <v>8</v>
      </c>
      <c r="H56" s="5"/>
      <c r="I56" s="5"/>
      <c r="J56" s="5">
        <f t="shared" si="0"/>
        <v>8</v>
      </c>
    </row>
    <row r="57" spans="1:10" ht="16.5" customHeight="1" x14ac:dyDescent="0.25">
      <c r="A57" s="158" t="str">
        <f>"TOTAL - "&amp;'Plan. Orçamentária'!G26</f>
        <v>TOTAL - UN</v>
      </c>
      <c r="B57" s="159"/>
      <c r="C57" s="159"/>
      <c r="D57" s="159"/>
      <c r="E57" s="159"/>
      <c r="F57" s="159"/>
      <c r="G57" s="159"/>
      <c r="H57" s="159"/>
      <c r="I57" s="160"/>
      <c r="J57" s="55">
        <f>SUM(J49:J56)</f>
        <v>46</v>
      </c>
    </row>
    <row r="58" spans="1:10" ht="16.5" customHeight="1" x14ac:dyDescent="0.25">
      <c r="A58" s="143" t="s">
        <v>288</v>
      </c>
      <c r="B58" s="144"/>
      <c r="C58" s="144"/>
      <c r="D58" s="144"/>
      <c r="E58" s="144"/>
      <c r="F58" s="144"/>
      <c r="G58" s="144"/>
      <c r="H58" s="144"/>
      <c r="I58" s="144"/>
      <c r="J58" s="145"/>
    </row>
    <row r="59" spans="1:10" ht="16.5" customHeight="1" x14ac:dyDescent="0.25">
      <c r="A59" s="17" t="str">
        <f>'Plan. Orçamentária'!A29</f>
        <v>5.1</v>
      </c>
      <c r="B59" s="122" t="str">
        <f>'Plan. Orçamentária'!E29</f>
        <v>Escavação mecanizada de vala, com profundidade até 3,00m, largura menor 0,8m em solos de 1ª categoria</v>
      </c>
      <c r="C59" s="122"/>
      <c r="D59" s="122"/>
      <c r="E59" s="122"/>
      <c r="F59" s="122"/>
      <c r="G59" s="122"/>
      <c r="H59" s="122"/>
      <c r="I59" s="122"/>
      <c r="J59" s="122"/>
    </row>
    <row r="60" spans="1:10" ht="16.5" customHeight="1" x14ac:dyDescent="0.25">
      <c r="A60" s="126" t="s">
        <v>12</v>
      </c>
      <c r="B60" s="126"/>
      <c r="C60" s="126"/>
      <c r="D60" s="61" t="s">
        <v>13</v>
      </c>
      <c r="E60" s="61" t="s">
        <v>14</v>
      </c>
      <c r="F60" s="61" t="s">
        <v>15</v>
      </c>
      <c r="G60" s="61" t="s">
        <v>156</v>
      </c>
      <c r="H60" s="61" t="s">
        <v>18</v>
      </c>
      <c r="I60" s="61" t="s">
        <v>28</v>
      </c>
      <c r="J60" s="61" t="s">
        <v>19</v>
      </c>
    </row>
    <row r="61" spans="1:10" ht="16.5" customHeight="1" x14ac:dyDescent="0.25">
      <c r="A61" s="121" t="s">
        <v>190</v>
      </c>
      <c r="B61" s="121"/>
      <c r="C61" s="121"/>
      <c r="D61" s="5">
        <f>58.08+5.6</f>
        <v>63.68</v>
      </c>
      <c r="E61" s="5">
        <v>0.7</v>
      </c>
      <c r="F61" s="5">
        <v>1.8</v>
      </c>
      <c r="G61" s="5"/>
      <c r="H61" s="5"/>
      <c r="I61" s="5"/>
      <c r="J61" s="5">
        <f t="shared" ref="J61:J74" si="1">PRODUCT(D61:H61)-I61</f>
        <v>80.239999999999995</v>
      </c>
    </row>
    <row r="62" spans="1:10" ht="16.5" customHeight="1" x14ac:dyDescent="0.25">
      <c r="A62" s="121" t="s">
        <v>192</v>
      </c>
      <c r="B62" s="121"/>
      <c r="C62" s="121"/>
      <c r="D62" s="5">
        <v>6.62</v>
      </c>
      <c r="E62" s="5">
        <v>0.7</v>
      </c>
      <c r="F62" s="5">
        <f>AVERAGE(1.5,1)</f>
        <v>1.25</v>
      </c>
      <c r="G62" s="5"/>
      <c r="H62" s="5"/>
      <c r="I62" s="5"/>
      <c r="J62" s="5">
        <f t="shared" si="1"/>
        <v>5.79</v>
      </c>
    </row>
    <row r="63" spans="1:10" ht="16.5" customHeight="1" x14ac:dyDescent="0.25">
      <c r="A63" s="121" t="s">
        <v>193</v>
      </c>
      <c r="B63" s="121"/>
      <c r="C63" s="121"/>
      <c r="D63" s="5">
        <v>3.93</v>
      </c>
      <c r="E63" s="5">
        <v>0.7</v>
      </c>
      <c r="F63" s="5">
        <f t="shared" ref="F63:F74" si="2">AVERAGE(1.5,1)</f>
        <v>1.25</v>
      </c>
      <c r="G63" s="5"/>
      <c r="H63" s="5"/>
      <c r="I63" s="5"/>
      <c r="J63" s="5">
        <f t="shared" si="1"/>
        <v>3.44</v>
      </c>
    </row>
    <row r="64" spans="1:10" ht="16.5" customHeight="1" x14ac:dyDescent="0.25">
      <c r="A64" s="121" t="s">
        <v>194</v>
      </c>
      <c r="B64" s="121"/>
      <c r="C64" s="121"/>
      <c r="D64" s="5">
        <v>4.08</v>
      </c>
      <c r="E64" s="5">
        <v>0.7</v>
      </c>
      <c r="F64" s="5">
        <f t="shared" si="2"/>
        <v>1.25</v>
      </c>
      <c r="G64" s="5"/>
      <c r="H64" s="5"/>
      <c r="I64" s="5"/>
      <c r="J64" s="5">
        <f t="shared" si="1"/>
        <v>3.57</v>
      </c>
    </row>
    <row r="65" spans="1:17" ht="16.5" customHeight="1" x14ac:dyDescent="0.25">
      <c r="A65" s="121" t="s">
        <v>195</v>
      </c>
      <c r="B65" s="121"/>
      <c r="C65" s="121"/>
      <c r="D65" s="5">
        <v>4.83</v>
      </c>
      <c r="E65" s="5">
        <v>0.7</v>
      </c>
      <c r="F65" s="5">
        <f t="shared" si="2"/>
        <v>1.25</v>
      </c>
      <c r="G65" s="5"/>
      <c r="H65" s="5"/>
      <c r="I65" s="5"/>
      <c r="J65" s="5">
        <f t="shared" si="1"/>
        <v>4.2300000000000004</v>
      </c>
    </row>
    <row r="66" spans="1:17" ht="16.5" customHeight="1" x14ac:dyDescent="0.25">
      <c r="A66" s="121" t="s">
        <v>196</v>
      </c>
      <c r="B66" s="121"/>
      <c r="C66" s="121"/>
      <c r="D66" s="5">
        <v>3.14</v>
      </c>
      <c r="E66" s="5">
        <v>0.7</v>
      </c>
      <c r="F66" s="5">
        <f t="shared" si="2"/>
        <v>1.25</v>
      </c>
      <c r="G66" s="5"/>
      <c r="H66" s="5"/>
      <c r="I66" s="5"/>
      <c r="J66" s="5">
        <f t="shared" si="1"/>
        <v>2.75</v>
      </c>
    </row>
    <row r="67" spans="1:17" ht="16.5" customHeight="1" x14ac:dyDescent="0.25">
      <c r="A67" s="121" t="s">
        <v>197</v>
      </c>
      <c r="B67" s="121"/>
      <c r="C67" s="121"/>
      <c r="D67" s="5">
        <v>6.8</v>
      </c>
      <c r="E67" s="5">
        <v>0.7</v>
      </c>
      <c r="F67" s="5">
        <f t="shared" si="2"/>
        <v>1.25</v>
      </c>
      <c r="G67" s="5"/>
      <c r="H67" s="5"/>
      <c r="I67" s="5"/>
      <c r="J67" s="5">
        <f t="shared" si="1"/>
        <v>5.95</v>
      </c>
    </row>
    <row r="68" spans="1:17" ht="16.5" customHeight="1" x14ac:dyDescent="0.25">
      <c r="A68" s="121" t="s">
        <v>198</v>
      </c>
      <c r="B68" s="121"/>
      <c r="C68" s="121"/>
      <c r="D68" s="5">
        <v>4.4800000000000004</v>
      </c>
      <c r="E68" s="5">
        <v>0.7</v>
      </c>
      <c r="F68" s="5">
        <f t="shared" si="2"/>
        <v>1.25</v>
      </c>
      <c r="G68" s="5"/>
      <c r="H68" s="5"/>
      <c r="I68" s="5"/>
      <c r="J68" s="5">
        <f t="shared" si="1"/>
        <v>3.92</v>
      </c>
    </row>
    <row r="69" spans="1:17" ht="16.5" customHeight="1" x14ac:dyDescent="0.25">
      <c r="A69" s="121" t="s">
        <v>199</v>
      </c>
      <c r="B69" s="121"/>
      <c r="C69" s="121"/>
      <c r="D69" s="5">
        <v>4.03</v>
      </c>
      <c r="E69" s="5">
        <v>0.7</v>
      </c>
      <c r="F69" s="5">
        <f t="shared" si="2"/>
        <v>1.25</v>
      </c>
      <c r="G69" s="5"/>
      <c r="H69" s="5"/>
      <c r="I69" s="5"/>
      <c r="J69" s="5">
        <f t="shared" si="1"/>
        <v>3.53</v>
      </c>
    </row>
    <row r="70" spans="1:17" ht="16.5" customHeight="1" x14ac:dyDescent="0.25">
      <c r="A70" s="121" t="s">
        <v>200</v>
      </c>
      <c r="B70" s="121"/>
      <c r="C70" s="121"/>
      <c r="D70" s="5">
        <v>4.78</v>
      </c>
      <c r="E70" s="5">
        <v>0.7</v>
      </c>
      <c r="F70" s="5">
        <f t="shared" si="2"/>
        <v>1.25</v>
      </c>
      <c r="G70" s="5"/>
      <c r="H70" s="5"/>
      <c r="I70" s="5"/>
      <c r="J70" s="5">
        <f t="shared" si="1"/>
        <v>4.18</v>
      </c>
    </row>
    <row r="71" spans="1:17" ht="16.5" customHeight="1" x14ac:dyDescent="0.25">
      <c r="A71" s="121" t="s">
        <v>201</v>
      </c>
      <c r="B71" s="121"/>
      <c r="C71" s="121"/>
      <c r="D71" s="5">
        <v>6.45</v>
      </c>
      <c r="E71" s="5">
        <v>0.7</v>
      </c>
      <c r="F71" s="5">
        <f t="shared" si="2"/>
        <v>1.25</v>
      </c>
      <c r="G71" s="5"/>
      <c r="H71" s="5"/>
      <c r="I71" s="5"/>
      <c r="J71" s="5">
        <f t="shared" si="1"/>
        <v>5.64</v>
      </c>
    </row>
    <row r="72" spans="1:17" ht="16.5" customHeight="1" x14ac:dyDescent="0.25">
      <c r="A72" s="121" t="s">
        <v>202</v>
      </c>
      <c r="B72" s="121"/>
      <c r="C72" s="121"/>
      <c r="D72" s="5">
        <v>3.76</v>
      </c>
      <c r="E72" s="5">
        <v>0.7</v>
      </c>
      <c r="F72" s="5">
        <f t="shared" si="2"/>
        <v>1.25</v>
      </c>
      <c r="G72" s="5"/>
      <c r="H72" s="5"/>
      <c r="I72" s="5"/>
      <c r="J72" s="5">
        <f t="shared" si="1"/>
        <v>3.29</v>
      </c>
    </row>
    <row r="73" spans="1:17" ht="16.5" customHeight="1" x14ac:dyDescent="0.25">
      <c r="A73" s="121" t="s">
        <v>203</v>
      </c>
      <c r="B73" s="121"/>
      <c r="C73" s="121"/>
      <c r="D73" s="5">
        <v>4.0599999999999996</v>
      </c>
      <c r="E73" s="5">
        <v>0.7</v>
      </c>
      <c r="F73" s="5">
        <f t="shared" si="2"/>
        <v>1.25</v>
      </c>
      <c r="G73" s="5"/>
      <c r="H73" s="5"/>
      <c r="I73" s="5"/>
      <c r="J73" s="5">
        <f t="shared" si="1"/>
        <v>3.55</v>
      </c>
    </row>
    <row r="74" spans="1:17" ht="16.5" customHeight="1" x14ac:dyDescent="0.25">
      <c r="A74" s="121" t="s">
        <v>204</v>
      </c>
      <c r="B74" s="121"/>
      <c r="C74" s="121"/>
      <c r="D74" s="5">
        <v>4.8899999999999997</v>
      </c>
      <c r="E74" s="5">
        <v>0.7</v>
      </c>
      <c r="F74" s="5">
        <f t="shared" si="2"/>
        <v>1.25</v>
      </c>
      <c r="G74" s="5"/>
      <c r="H74" s="5"/>
      <c r="I74" s="5"/>
      <c r="J74" s="5">
        <f t="shared" si="1"/>
        <v>4.28</v>
      </c>
    </row>
    <row r="75" spans="1:17" ht="16.5" customHeight="1" x14ac:dyDescent="0.25">
      <c r="A75" s="176" t="str">
        <f>"TOTAL - "&amp;'Plan. Orçamentária'!G29</f>
        <v>TOTAL - M3</v>
      </c>
      <c r="B75" s="176"/>
      <c r="C75" s="176"/>
      <c r="D75" s="176"/>
      <c r="E75" s="176"/>
      <c r="F75" s="176"/>
      <c r="G75" s="176"/>
      <c r="H75" s="176"/>
      <c r="I75" s="176"/>
      <c r="J75" s="55">
        <f>SUM(J61:J74)</f>
        <v>134.36000000000001</v>
      </c>
      <c r="Q75" s="13">
        <v>139.77000000000001</v>
      </c>
    </row>
    <row r="76" spans="1:17" ht="16.5" customHeight="1" x14ac:dyDescent="0.25">
      <c r="A76" s="17" t="str">
        <f>'Plan. Orçamentária'!A30</f>
        <v>5.2</v>
      </c>
      <c r="B76" s="122" t="str">
        <f>'Plan. Orçamentária'!E30</f>
        <v>Escavação mecanizada de vala, com profundidade até 3,00m, largura de 0,8m a 1,5m, em solos de 1ª categoria</v>
      </c>
      <c r="C76" s="122"/>
      <c r="D76" s="122"/>
      <c r="E76" s="122"/>
      <c r="F76" s="122"/>
      <c r="G76" s="122"/>
      <c r="H76" s="122"/>
      <c r="I76" s="122"/>
      <c r="J76" s="122"/>
    </row>
    <row r="77" spans="1:17" ht="16.5" customHeight="1" x14ac:dyDescent="0.25">
      <c r="A77" s="126" t="s">
        <v>12</v>
      </c>
      <c r="B77" s="126"/>
      <c r="C77" s="126"/>
      <c r="D77" s="61" t="s">
        <v>13</v>
      </c>
      <c r="E77" s="61" t="s">
        <v>14</v>
      </c>
      <c r="F77" s="61" t="s">
        <v>15</v>
      </c>
      <c r="G77" s="61" t="s">
        <v>156</v>
      </c>
      <c r="H77" s="61" t="s">
        <v>18</v>
      </c>
      <c r="I77" s="61" t="s">
        <v>28</v>
      </c>
      <c r="J77" s="61" t="s">
        <v>19</v>
      </c>
    </row>
    <row r="78" spans="1:17" ht="16.5" customHeight="1" x14ac:dyDescent="0.25">
      <c r="A78" s="121" t="s">
        <v>191</v>
      </c>
      <c r="B78" s="121"/>
      <c r="C78" s="121"/>
      <c r="D78" s="5">
        <f>58.8369+56.1529+6.2067</f>
        <v>121.2</v>
      </c>
      <c r="E78" s="5">
        <v>0.9</v>
      </c>
      <c r="F78" s="5">
        <v>2.13</v>
      </c>
      <c r="G78" s="5"/>
      <c r="H78" s="5"/>
      <c r="I78" s="5"/>
      <c r="J78" s="5">
        <f t="shared" ref="J78" si="3">PRODUCT(D78:H78)-I78</f>
        <v>232.34</v>
      </c>
    </row>
    <row r="79" spans="1:17" ht="16.5" customHeight="1" x14ac:dyDescent="0.25">
      <c r="A79" s="100" t="str">
        <f>"TOTAL - "&amp;'Plan. Orçamentária'!G29</f>
        <v>TOTAL - M3</v>
      </c>
      <c r="B79" s="100"/>
      <c r="C79" s="100"/>
      <c r="D79" s="100"/>
      <c r="E79" s="100"/>
      <c r="F79" s="100"/>
      <c r="G79" s="100"/>
      <c r="H79" s="100"/>
      <c r="I79" s="100"/>
      <c r="J79" s="55">
        <f>SUM(J78)</f>
        <v>232.34</v>
      </c>
      <c r="Q79" s="13">
        <v>232.34</v>
      </c>
    </row>
    <row r="80" spans="1:17" ht="16.5" customHeight="1" x14ac:dyDescent="0.25">
      <c r="A80" s="17" t="str">
        <f>'Plan. Orçamentária'!A31</f>
        <v>5.3</v>
      </c>
      <c r="B80" s="122" t="str">
        <f>'Plan. Orçamentária'!E31</f>
        <v>Preparo do fundo de vala com largura menor que 1,5 m</v>
      </c>
      <c r="C80" s="122"/>
      <c r="D80" s="122"/>
      <c r="E80" s="122"/>
      <c r="F80" s="122"/>
      <c r="G80" s="122"/>
      <c r="H80" s="122"/>
      <c r="I80" s="122"/>
      <c r="J80" s="122"/>
    </row>
    <row r="81" spans="1:10" ht="16.5" customHeight="1" x14ac:dyDescent="0.25">
      <c r="A81" s="126" t="s">
        <v>12</v>
      </c>
      <c r="B81" s="126"/>
      <c r="C81" s="126"/>
      <c r="D81" s="61" t="s">
        <v>13</v>
      </c>
      <c r="E81" s="61" t="s">
        <v>14</v>
      </c>
      <c r="F81" s="61" t="s">
        <v>15</v>
      </c>
      <c r="G81" s="61" t="s">
        <v>16</v>
      </c>
      <c r="H81" s="61" t="s">
        <v>18</v>
      </c>
      <c r="I81" s="61" t="s">
        <v>28</v>
      </c>
      <c r="J81" s="61" t="s">
        <v>19</v>
      </c>
    </row>
    <row r="82" spans="1:10" ht="16.5" customHeight="1" x14ac:dyDescent="0.25">
      <c r="A82" s="121" t="s">
        <v>190</v>
      </c>
      <c r="B82" s="121"/>
      <c r="C82" s="121"/>
      <c r="D82" s="5">
        <f>58.08+5.6</f>
        <v>63.68</v>
      </c>
      <c r="E82" s="5">
        <v>0.7</v>
      </c>
      <c r="F82" s="5"/>
      <c r="G82" s="5"/>
      <c r="H82" s="5"/>
      <c r="I82" s="5"/>
      <c r="J82" s="5">
        <f t="shared" ref="J82:J96" si="4">PRODUCT(D82:H82)-I82</f>
        <v>44.58</v>
      </c>
    </row>
    <row r="83" spans="1:10" ht="16.5" customHeight="1" x14ac:dyDescent="0.25">
      <c r="A83" s="121" t="s">
        <v>205</v>
      </c>
      <c r="B83" s="121"/>
      <c r="C83" s="121"/>
      <c r="D83" s="5">
        <v>6.62</v>
      </c>
      <c r="E83" s="5">
        <v>0.7</v>
      </c>
      <c r="F83" s="5"/>
      <c r="G83" s="5"/>
      <c r="H83" s="5"/>
      <c r="I83" s="5"/>
      <c r="J83" s="5">
        <f t="shared" si="4"/>
        <v>4.63</v>
      </c>
    </row>
    <row r="84" spans="1:10" ht="16.5" customHeight="1" x14ac:dyDescent="0.25">
      <c r="A84" s="121" t="s">
        <v>206</v>
      </c>
      <c r="B84" s="121"/>
      <c r="C84" s="121"/>
      <c r="D84" s="5">
        <v>3.93</v>
      </c>
      <c r="E84" s="5">
        <v>0.7</v>
      </c>
      <c r="F84" s="5"/>
      <c r="G84" s="5"/>
      <c r="H84" s="5"/>
      <c r="I84" s="5"/>
      <c r="J84" s="5">
        <f t="shared" si="4"/>
        <v>2.75</v>
      </c>
    </row>
    <row r="85" spans="1:10" ht="16.5" customHeight="1" x14ac:dyDescent="0.25">
      <c r="A85" s="121" t="s">
        <v>207</v>
      </c>
      <c r="B85" s="121"/>
      <c r="C85" s="121"/>
      <c r="D85" s="5">
        <v>4.08</v>
      </c>
      <c r="E85" s="5">
        <v>0.7</v>
      </c>
      <c r="F85" s="5"/>
      <c r="G85" s="5"/>
      <c r="H85" s="5"/>
      <c r="I85" s="5"/>
      <c r="J85" s="5">
        <f t="shared" si="4"/>
        <v>2.86</v>
      </c>
    </row>
    <row r="86" spans="1:10" ht="16.5" customHeight="1" x14ac:dyDescent="0.25">
      <c r="A86" s="121" t="s">
        <v>208</v>
      </c>
      <c r="B86" s="121"/>
      <c r="C86" s="121"/>
      <c r="D86" s="5">
        <v>4.83</v>
      </c>
      <c r="E86" s="5">
        <v>0.7</v>
      </c>
      <c r="F86" s="5"/>
      <c r="G86" s="5"/>
      <c r="H86" s="5"/>
      <c r="I86" s="5"/>
      <c r="J86" s="5">
        <f t="shared" si="4"/>
        <v>3.38</v>
      </c>
    </row>
    <row r="87" spans="1:10" ht="16.5" customHeight="1" x14ac:dyDescent="0.25">
      <c r="A87" s="121" t="s">
        <v>209</v>
      </c>
      <c r="B87" s="121"/>
      <c r="C87" s="121"/>
      <c r="D87" s="5">
        <v>3.14</v>
      </c>
      <c r="E87" s="5">
        <v>0.7</v>
      </c>
      <c r="F87" s="5"/>
      <c r="G87" s="5"/>
      <c r="H87" s="5"/>
      <c r="I87" s="5"/>
      <c r="J87" s="5">
        <f t="shared" si="4"/>
        <v>2.2000000000000002</v>
      </c>
    </row>
    <row r="88" spans="1:10" ht="16.5" customHeight="1" x14ac:dyDescent="0.25">
      <c r="A88" s="121" t="s">
        <v>210</v>
      </c>
      <c r="B88" s="121"/>
      <c r="C88" s="121"/>
      <c r="D88" s="5">
        <v>6.8</v>
      </c>
      <c r="E88" s="5">
        <v>0.7</v>
      </c>
      <c r="F88" s="5"/>
      <c r="G88" s="5"/>
      <c r="H88" s="5"/>
      <c r="I88" s="5"/>
      <c r="J88" s="5">
        <f t="shared" si="4"/>
        <v>4.76</v>
      </c>
    </row>
    <row r="89" spans="1:10" ht="16.5" customHeight="1" x14ac:dyDescent="0.25">
      <c r="A89" s="121" t="s">
        <v>211</v>
      </c>
      <c r="B89" s="121"/>
      <c r="C89" s="121"/>
      <c r="D89" s="5">
        <v>4.4800000000000004</v>
      </c>
      <c r="E89" s="5">
        <v>0.7</v>
      </c>
      <c r="F89" s="5"/>
      <c r="G89" s="5"/>
      <c r="H89" s="5"/>
      <c r="I89" s="5"/>
      <c r="J89" s="5">
        <f t="shared" si="4"/>
        <v>3.14</v>
      </c>
    </row>
    <row r="90" spans="1:10" ht="16.5" customHeight="1" x14ac:dyDescent="0.25">
      <c r="A90" s="121" t="s">
        <v>212</v>
      </c>
      <c r="B90" s="121"/>
      <c r="C90" s="121"/>
      <c r="D90" s="5">
        <v>4.03</v>
      </c>
      <c r="E90" s="5">
        <v>0.7</v>
      </c>
      <c r="F90" s="5"/>
      <c r="G90" s="5"/>
      <c r="H90" s="5"/>
      <c r="I90" s="5"/>
      <c r="J90" s="5">
        <f t="shared" si="4"/>
        <v>2.82</v>
      </c>
    </row>
    <row r="91" spans="1:10" ht="16.5" customHeight="1" x14ac:dyDescent="0.25">
      <c r="A91" s="121" t="s">
        <v>213</v>
      </c>
      <c r="B91" s="121"/>
      <c r="C91" s="121"/>
      <c r="D91" s="5">
        <v>4.78</v>
      </c>
      <c r="E91" s="5">
        <v>0.7</v>
      </c>
      <c r="F91" s="5"/>
      <c r="G91" s="5"/>
      <c r="H91" s="5"/>
      <c r="I91" s="5"/>
      <c r="J91" s="5">
        <f t="shared" si="4"/>
        <v>3.35</v>
      </c>
    </row>
    <row r="92" spans="1:10" ht="16.5" customHeight="1" x14ac:dyDescent="0.25">
      <c r="A92" s="121" t="s">
        <v>214</v>
      </c>
      <c r="B92" s="121"/>
      <c r="C92" s="121"/>
      <c r="D92" s="5">
        <v>6.45</v>
      </c>
      <c r="E92" s="5">
        <v>0.7</v>
      </c>
      <c r="F92" s="5"/>
      <c r="G92" s="5"/>
      <c r="H92" s="5"/>
      <c r="I92" s="5"/>
      <c r="J92" s="5">
        <f t="shared" si="4"/>
        <v>4.5199999999999996</v>
      </c>
    </row>
    <row r="93" spans="1:10" ht="16.5" customHeight="1" x14ac:dyDescent="0.25">
      <c r="A93" s="121" t="s">
        <v>215</v>
      </c>
      <c r="B93" s="121"/>
      <c r="C93" s="121"/>
      <c r="D93" s="5">
        <v>3.76</v>
      </c>
      <c r="E93" s="5">
        <v>0.7</v>
      </c>
      <c r="F93" s="5"/>
      <c r="G93" s="5"/>
      <c r="H93" s="5"/>
      <c r="I93" s="5"/>
      <c r="J93" s="5">
        <f t="shared" si="4"/>
        <v>2.63</v>
      </c>
    </row>
    <row r="94" spans="1:10" ht="16.5" customHeight="1" x14ac:dyDescent="0.25">
      <c r="A94" s="121" t="s">
        <v>216</v>
      </c>
      <c r="B94" s="121"/>
      <c r="C94" s="121"/>
      <c r="D94" s="5">
        <v>4.0599999999999996</v>
      </c>
      <c r="E94" s="5">
        <v>0.7</v>
      </c>
      <c r="F94" s="5"/>
      <c r="G94" s="5"/>
      <c r="H94" s="5"/>
      <c r="I94" s="5"/>
      <c r="J94" s="5">
        <f t="shared" si="4"/>
        <v>2.84</v>
      </c>
    </row>
    <row r="95" spans="1:10" ht="16.5" customHeight="1" x14ac:dyDescent="0.25">
      <c r="A95" s="121" t="s">
        <v>217</v>
      </c>
      <c r="B95" s="121"/>
      <c r="C95" s="121"/>
      <c r="D95" s="5">
        <v>4.8899999999999997</v>
      </c>
      <c r="E95" s="5">
        <v>0.7</v>
      </c>
      <c r="F95" s="5"/>
      <c r="G95" s="5"/>
      <c r="H95" s="5"/>
      <c r="I95" s="5"/>
      <c r="J95" s="5">
        <f t="shared" si="4"/>
        <v>3.42</v>
      </c>
    </row>
    <row r="96" spans="1:10" ht="16.5" customHeight="1" x14ac:dyDescent="0.25">
      <c r="A96" s="121" t="s">
        <v>191</v>
      </c>
      <c r="B96" s="121"/>
      <c r="C96" s="121"/>
      <c r="D96" s="5">
        <f>58.8369+56.1529+6.2067</f>
        <v>121.2</v>
      </c>
      <c r="E96" s="5">
        <v>0.9</v>
      </c>
      <c r="F96" s="5"/>
      <c r="G96" s="5"/>
      <c r="H96" s="5"/>
      <c r="I96" s="5"/>
      <c r="J96" s="5">
        <f t="shared" si="4"/>
        <v>109.08</v>
      </c>
    </row>
    <row r="97" spans="1:10" ht="16.5" customHeight="1" x14ac:dyDescent="0.25">
      <c r="A97" s="100" t="str">
        <f>"TOTAL - "&amp;'Plan. Orçamentária'!G31</f>
        <v>TOTAL - M2</v>
      </c>
      <c r="B97" s="100"/>
      <c r="C97" s="100"/>
      <c r="D97" s="100"/>
      <c r="E97" s="100"/>
      <c r="F97" s="100"/>
      <c r="G97" s="100"/>
      <c r="H97" s="100"/>
      <c r="I97" s="100"/>
      <c r="J97" s="55">
        <f>SUM(J82:J96)</f>
        <v>196.96</v>
      </c>
    </row>
    <row r="98" spans="1:10" ht="16.5" customHeight="1" x14ac:dyDescent="0.25">
      <c r="A98" s="17" t="str">
        <f>'Plan. Orçamentária'!A32</f>
        <v>5.4</v>
      </c>
      <c r="B98" s="122" t="str">
        <f>'Plan. Orçamentária'!E32</f>
        <v>Tubo de concreto armado PA1, DN 400mm, junta rígida tipo ponta e bolsa, incluindo fornecimento, assentamento e rejuntamento</v>
      </c>
      <c r="C98" s="122"/>
      <c r="D98" s="122"/>
      <c r="E98" s="122"/>
      <c r="F98" s="122"/>
      <c r="G98" s="122"/>
      <c r="H98" s="122"/>
      <c r="I98" s="122"/>
      <c r="J98" s="122"/>
    </row>
    <row r="99" spans="1:10" ht="16.5" customHeight="1" x14ac:dyDescent="0.25">
      <c r="A99" s="126" t="s">
        <v>12</v>
      </c>
      <c r="B99" s="126"/>
      <c r="C99" s="126"/>
      <c r="D99" s="61" t="s">
        <v>13</v>
      </c>
      <c r="E99" s="61" t="s">
        <v>14</v>
      </c>
      <c r="F99" s="61" t="s">
        <v>15</v>
      </c>
      <c r="G99" s="61" t="s">
        <v>16</v>
      </c>
      <c r="H99" s="61" t="s">
        <v>18</v>
      </c>
      <c r="I99" s="61" t="s">
        <v>28</v>
      </c>
      <c r="J99" s="61" t="s">
        <v>19</v>
      </c>
    </row>
    <row r="100" spans="1:10" ht="16.5" customHeight="1" x14ac:dyDescent="0.25">
      <c r="A100" s="121" t="s">
        <v>190</v>
      </c>
      <c r="B100" s="121"/>
      <c r="C100" s="121"/>
      <c r="D100" s="5">
        <f>58.08+5.6</f>
        <v>63.68</v>
      </c>
      <c r="E100" s="5"/>
      <c r="F100" s="5"/>
      <c r="G100" s="5"/>
      <c r="H100" s="5"/>
      <c r="I100" s="5"/>
      <c r="J100" s="5">
        <f t="shared" ref="J100:J113" si="5">PRODUCT(D100:H100)-I100</f>
        <v>63.68</v>
      </c>
    </row>
    <row r="101" spans="1:10" ht="16.5" customHeight="1" x14ac:dyDescent="0.25">
      <c r="A101" s="121" t="s">
        <v>205</v>
      </c>
      <c r="B101" s="121"/>
      <c r="C101" s="121"/>
      <c r="D101" s="5">
        <v>6.62</v>
      </c>
      <c r="E101" s="5"/>
      <c r="F101" s="5"/>
      <c r="G101" s="5"/>
      <c r="H101" s="5"/>
      <c r="I101" s="5"/>
      <c r="J101" s="5">
        <f t="shared" si="5"/>
        <v>6.62</v>
      </c>
    </row>
    <row r="102" spans="1:10" ht="16.5" customHeight="1" x14ac:dyDescent="0.25">
      <c r="A102" s="121" t="s">
        <v>206</v>
      </c>
      <c r="B102" s="121"/>
      <c r="C102" s="121"/>
      <c r="D102" s="5">
        <v>3.93</v>
      </c>
      <c r="E102" s="5"/>
      <c r="F102" s="5"/>
      <c r="G102" s="5"/>
      <c r="H102" s="5"/>
      <c r="I102" s="5"/>
      <c r="J102" s="5">
        <f t="shared" si="5"/>
        <v>3.93</v>
      </c>
    </row>
    <row r="103" spans="1:10" ht="16.5" customHeight="1" x14ac:dyDescent="0.25">
      <c r="A103" s="121" t="s">
        <v>207</v>
      </c>
      <c r="B103" s="121"/>
      <c r="C103" s="121"/>
      <c r="D103" s="5">
        <v>4.08</v>
      </c>
      <c r="E103" s="5"/>
      <c r="F103" s="5"/>
      <c r="G103" s="5"/>
      <c r="H103" s="5"/>
      <c r="I103" s="5"/>
      <c r="J103" s="5">
        <f t="shared" si="5"/>
        <v>4.08</v>
      </c>
    </row>
    <row r="104" spans="1:10" ht="16.5" customHeight="1" x14ac:dyDescent="0.25">
      <c r="A104" s="121" t="s">
        <v>208</v>
      </c>
      <c r="B104" s="121"/>
      <c r="C104" s="121"/>
      <c r="D104" s="5">
        <v>4.83</v>
      </c>
      <c r="E104" s="5"/>
      <c r="F104" s="5"/>
      <c r="G104" s="5"/>
      <c r="H104" s="5"/>
      <c r="I104" s="5"/>
      <c r="J104" s="5">
        <f t="shared" si="5"/>
        <v>4.83</v>
      </c>
    </row>
    <row r="105" spans="1:10" ht="16.5" customHeight="1" x14ac:dyDescent="0.25">
      <c r="A105" s="121" t="s">
        <v>209</v>
      </c>
      <c r="B105" s="121"/>
      <c r="C105" s="121"/>
      <c r="D105" s="5">
        <v>3.14</v>
      </c>
      <c r="E105" s="5"/>
      <c r="F105" s="5"/>
      <c r="G105" s="5"/>
      <c r="H105" s="5"/>
      <c r="I105" s="5"/>
      <c r="J105" s="5">
        <f t="shared" si="5"/>
        <v>3.14</v>
      </c>
    </row>
    <row r="106" spans="1:10" ht="16.5" customHeight="1" x14ac:dyDescent="0.25">
      <c r="A106" s="121" t="s">
        <v>210</v>
      </c>
      <c r="B106" s="121"/>
      <c r="C106" s="121"/>
      <c r="D106" s="5">
        <v>6.8</v>
      </c>
      <c r="E106" s="5"/>
      <c r="F106" s="5"/>
      <c r="G106" s="5"/>
      <c r="H106" s="5"/>
      <c r="I106" s="5"/>
      <c r="J106" s="5">
        <f t="shared" si="5"/>
        <v>6.8</v>
      </c>
    </row>
    <row r="107" spans="1:10" ht="16.5" customHeight="1" x14ac:dyDescent="0.25">
      <c r="A107" s="121" t="s">
        <v>211</v>
      </c>
      <c r="B107" s="121"/>
      <c r="C107" s="121"/>
      <c r="D107" s="5">
        <v>4.4800000000000004</v>
      </c>
      <c r="E107" s="5"/>
      <c r="F107" s="5"/>
      <c r="G107" s="5"/>
      <c r="H107" s="5"/>
      <c r="I107" s="5"/>
      <c r="J107" s="5">
        <f t="shared" si="5"/>
        <v>4.4800000000000004</v>
      </c>
    </row>
    <row r="108" spans="1:10" ht="16.5" customHeight="1" x14ac:dyDescent="0.25">
      <c r="A108" s="121" t="s">
        <v>212</v>
      </c>
      <c r="B108" s="121"/>
      <c r="C108" s="121"/>
      <c r="D108" s="5">
        <v>4.03</v>
      </c>
      <c r="E108" s="5"/>
      <c r="F108" s="5"/>
      <c r="G108" s="5"/>
      <c r="H108" s="5"/>
      <c r="I108" s="5"/>
      <c r="J108" s="5">
        <f t="shared" si="5"/>
        <v>4.03</v>
      </c>
    </row>
    <row r="109" spans="1:10" ht="16.5" customHeight="1" x14ac:dyDescent="0.25">
      <c r="A109" s="121" t="s">
        <v>213</v>
      </c>
      <c r="B109" s="121"/>
      <c r="C109" s="121"/>
      <c r="D109" s="5">
        <v>4.78</v>
      </c>
      <c r="E109" s="5"/>
      <c r="F109" s="5"/>
      <c r="G109" s="5"/>
      <c r="H109" s="5"/>
      <c r="I109" s="5"/>
      <c r="J109" s="5">
        <f t="shared" si="5"/>
        <v>4.78</v>
      </c>
    </row>
    <row r="110" spans="1:10" ht="16.5" customHeight="1" x14ac:dyDescent="0.25">
      <c r="A110" s="121" t="s">
        <v>214</v>
      </c>
      <c r="B110" s="121"/>
      <c r="C110" s="121"/>
      <c r="D110" s="5">
        <v>6.45</v>
      </c>
      <c r="E110" s="5"/>
      <c r="F110" s="5"/>
      <c r="G110" s="5"/>
      <c r="H110" s="5"/>
      <c r="I110" s="5"/>
      <c r="J110" s="5">
        <f t="shared" si="5"/>
        <v>6.45</v>
      </c>
    </row>
    <row r="111" spans="1:10" ht="16.5" customHeight="1" x14ac:dyDescent="0.25">
      <c r="A111" s="121" t="s">
        <v>215</v>
      </c>
      <c r="B111" s="121"/>
      <c r="C111" s="121"/>
      <c r="D111" s="5">
        <v>3.76</v>
      </c>
      <c r="E111" s="5"/>
      <c r="F111" s="5"/>
      <c r="G111" s="5"/>
      <c r="H111" s="5"/>
      <c r="I111" s="5"/>
      <c r="J111" s="5">
        <f t="shared" si="5"/>
        <v>3.76</v>
      </c>
    </row>
    <row r="112" spans="1:10" ht="16.5" customHeight="1" x14ac:dyDescent="0.25">
      <c r="A112" s="121" t="s">
        <v>216</v>
      </c>
      <c r="B112" s="121"/>
      <c r="C112" s="121"/>
      <c r="D112" s="5">
        <v>4.0599999999999996</v>
      </c>
      <c r="E112" s="5"/>
      <c r="F112" s="5"/>
      <c r="G112" s="5"/>
      <c r="H112" s="5"/>
      <c r="I112" s="5"/>
      <c r="J112" s="5">
        <f t="shared" si="5"/>
        <v>4.0599999999999996</v>
      </c>
    </row>
    <row r="113" spans="1:14" ht="16.5" customHeight="1" x14ac:dyDescent="0.25">
      <c r="A113" s="121" t="s">
        <v>217</v>
      </c>
      <c r="B113" s="121"/>
      <c r="C113" s="121"/>
      <c r="D113" s="5">
        <v>4.8899999999999997</v>
      </c>
      <c r="E113" s="5"/>
      <c r="F113" s="5"/>
      <c r="G113" s="5"/>
      <c r="H113" s="5"/>
      <c r="I113" s="5"/>
      <c r="J113" s="5">
        <f t="shared" si="5"/>
        <v>4.8899999999999997</v>
      </c>
    </row>
    <row r="114" spans="1:14" ht="16.5" customHeight="1" x14ac:dyDescent="0.25">
      <c r="A114" s="100" t="str">
        <f>"TOTAL - "&amp;'Plan. Orçamentária'!G32</f>
        <v>TOTAL - M</v>
      </c>
      <c r="B114" s="100"/>
      <c r="C114" s="100"/>
      <c r="D114" s="100"/>
      <c r="E114" s="100"/>
      <c r="F114" s="100"/>
      <c r="G114" s="100"/>
      <c r="H114" s="100"/>
      <c r="I114" s="100"/>
      <c r="J114" s="55">
        <f>SUM(J100:J113)</f>
        <v>125.53</v>
      </c>
    </row>
    <row r="115" spans="1:14" ht="16.5" customHeight="1" x14ac:dyDescent="0.25">
      <c r="A115" s="17" t="str">
        <f>'Plan. Orçamentária'!A33</f>
        <v>5.5</v>
      </c>
      <c r="B115" s="122" t="str">
        <f>'Plan. Orçamentária'!E33</f>
        <v>Tubo de concreto armado PA1, DN 600mm, junta rígida tipo ponta e bolsa, incluindo fornecimento, assentamento e rejuntamento</v>
      </c>
      <c r="C115" s="122"/>
      <c r="D115" s="122"/>
      <c r="E115" s="122"/>
      <c r="F115" s="122"/>
      <c r="G115" s="122"/>
      <c r="H115" s="122"/>
      <c r="I115" s="122"/>
      <c r="J115" s="122"/>
    </row>
    <row r="116" spans="1:14" ht="16.5" customHeight="1" x14ac:dyDescent="0.25">
      <c r="A116" s="126" t="s">
        <v>12</v>
      </c>
      <c r="B116" s="126"/>
      <c r="C116" s="126"/>
      <c r="D116" s="61" t="s">
        <v>13</v>
      </c>
      <c r="E116" s="61" t="s">
        <v>14</v>
      </c>
      <c r="F116" s="61" t="s">
        <v>15</v>
      </c>
      <c r="G116" s="61" t="s">
        <v>16</v>
      </c>
      <c r="H116" s="61" t="s">
        <v>18</v>
      </c>
      <c r="I116" s="61" t="s">
        <v>28</v>
      </c>
      <c r="J116" s="61" t="s">
        <v>19</v>
      </c>
    </row>
    <row r="117" spans="1:14" ht="16.5" customHeight="1" x14ac:dyDescent="0.25">
      <c r="A117" s="121" t="s">
        <v>191</v>
      </c>
      <c r="B117" s="121"/>
      <c r="C117" s="121"/>
      <c r="D117" s="5">
        <f>58.8369+56.1529+6.2067</f>
        <v>121.2</v>
      </c>
      <c r="E117" s="5"/>
      <c r="F117" s="5"/>
      <c r="G117" s="5"/>
      <c r="H117" s="5"/>
      <c r="I117" s="5"/>
      <c r="J117" s="5">
        <f t="shared" ref="J117" si="6">PRODUCT(D117:H117)-I117</f>
        <v>121.2</v>
      </c>
    </row>
    <row r="118" spans="1:14" ht="16.5" customHeight="1" x14ac:dyDescent="0.25">
      <c r="A118" s="100" t="str">
        <f>"TOTAL - "&amp;'Plan. Orçamentária'!G33</f>
        <v>TOTAL - M</v>
      </c>
      <c r="B118" s="100"/>
      <c r="C118" s="100"/>
      <c r="D118" s="100"/>
      <c r="E118" s="100"/>
      <c r="F118" s="100"/>
      <c r="G118" s="100"/>
      <c r="H118" s="100"/>
      <c r="I118" s="100"/>
      <c r="J118" s="55">
        <f>SUM(J117:J117)</f>
        <v>121.2</v>
      </c>
    </row>
    <row r="119" spans="1:14" ht="16.5" customHeight="1" x14ac:dyDescent="0.25">
      <c r="A119" s="17" t="str">
        <f>'Plan. Orçamentária'!A34</f>
        <v>5.6</v>
      </c>
      <c r="B119" s="122" t="str">
        <f>'Plan. Orçamentária'!E34</f>
        <v>Berço em concreto não estrutural, preparado em obra com betoneira, Fck ≥ 15MPa, inclusive lançamento, adensamento e acabamento</v>
      </c>
      <c r="C119" s="122"/>
      <c r="D119" s="122"/>
      <c r="E119" s="122"/>
      <c r="F119" s="122"/>
      <c r="G119" s="122"/>
      <c r="H119" s="122"/>
      <c r="I119" s="122"/>
      <c r="J119" s="122"/>
    </row>
    <row r="120" spans="1:14" ht="16.5" customHeight="1" x14ac:dyDescent="0.25">
      <c r="A120" s="126" t="s">
        <v>12</v>
      </c>
      <c r="B120" s="126"/>
      <c r="C120" s="126"/>
      <c r="D120" s="61" t="s">
        <v>13</v>
      </c>
      <c r="E120" s="61" t="s">
        <v>14</v>
      </c>
      <c r="F120" s="61" t="s">
        <v>15</v>
      </c>
      <c r="G120" s="61" t="s">
        <v>16</v>
      </c>
      <c r="H120" s="61" t="s">
        <v>18</v>
      </c>
      <c r="I120" s="61" t="s">
        <v>28</v>
      </c>
      <c r="J120" s="61" t="s">
        <v>19</v>
      </c>
    </row>
    <row r="121" spans="1:14" ht="16.5" customHeight="1" x14ac:dyDescent="0.25">
      <c r="A121" s="121" t="s">
        <v>191</v>
      </c>
      <c r="B121" s="121"/>
      <c r="C121" s="121"/>
      <c r="D121" s="5">
        <f>58.8369+56.1529+6.2067</f>
        <v>121.2</v>
      </c>
      <c r="E121" s="5">
        <v>0.8</v>
      </c>
      <c r="F121" s="5">
        <v>0.12</v>
      </c>
      <c r="G121" s="5"/>
      <c r="H121" s="5"/>
      <c r="I121" s="5"/>
      <c r="J121" s="5">
        <f t="shared" ref="J121" si="7">PRODUCT(D121:H121)-I121</f>
        <v>11.64</v>
      </c>
    </row>
    <row r="122" spans="1:14" ht="16.5" customHeight="1" x14ac:dyDescent="0.25">
      <c r="A122" s="100" t="str">
        <f>"TOTAL - "&amp;'Plan. Orçamentária'!G34</f>
        <v>TOTAL - M3</v>
      </c>
      <c r="B122" s="100"/>
      <c r="C122" s="100"/>
      <c r="D122" s="100"/>
      <c r="E122" s="100"/>
      <c r="F122" s="100"/>
      <c r="G122" s="100"/>
      <c r="H122" s="100"/>
      <c r="I122" s="100"/>
      <c r="J122" s="55">
        <f>SUM(J121:J121)</f>
        <v>11.64</v>
      </c>
    </row>
    <row r="123" spans="1:14" ht="16.5" customHeight="1" x14ac:dyDescent="0.25">
      <c r="A123" s="143" t="s">
        <v>289</v>
      </c>
      <c r="B123" s="144"/>
      <c r="C123" s="144"/>
      <c r="D123" s="144"/>
      <c r="E123" s="144"/>
      <c r="F123" s="144"/>
      <c r="G123" s="144"/>
      <c r="H123" s="144"/>
      <c r="I123" s="144"/>
      <c r="J123" s="145"/>
    </row>
    <row r="124" spans="1:14" ht="16.5" customHeight="1" x14ac:dyDescent="0.25">
      <c r="A124" s="17" t="str">
        <f>'Plan. Orçamentária'!A35</f>
        <v>5.7</v>
      </c>
      <c r="B124" s="122" t="str">
        <f>'Plan. Orçamentária'!E35</f>
        <v>Reaterro de vala com compactação mecânica através de placa vibratória</v>
      </c>
      <c r="C124" s="122"/>
      <c r="D124" s="122"/>
      <c r="E124" s="122"/>
      <c r="F124" s="122"/>
      <c r="G124" s="122"/>
      <c r="H124" s="122"/>
      <c r="I124" s="122"/>
      <c r="J124" s="122"/>
    </row>
    <row r="125" spans="1:14" ht="25.5" customHeight="1" x14ac:dyDescent="0.25">
      <c r="A125" s="125" t="s">
        <v>12</v>
      </c>
      <c r="B125" s="125"/>
      <c r="C125" s="125"/>
      <c r="D125" s="125" t="s">
        <v>218</v>
      </c>
      <c r="E125" s="125"/>
      <c r="F125" s="125"/>
      <c r="G125" s="125"/>
      <c r="H125" s="126" t="s">
        <v>219</v>
      </c>
      <c r="I125" s="126"/>
      <c r="J125" s="125" t="s">
        <v>51</v>
      </c>
    </row>
    <row r="126" spans="1:14" ht="25.5" customHeight="1" x14ac:dyDescent="0.25">
      <c r="A126" s="125"/>
      <c r="B126" s="125"/>
      <c r="C126" s="125"/>
      <c r="D126" s="62" t="s">
        <v>13</v>
      </c>
      <c r="E126" s="61" t="s">
        <v>222</v>
      </c>
      <c r="F126" s="61" t="s">
        <v>223</v>
      </c>
      <c r="G126" s="61" t="s">
        <v>220</v>
      </c>
      <c r="H126" s="126"/>
      <c r="I126" s="126"/>
      <c r="J126" s="125"/>
    </row>
    <row r="127" spans="1:14" ht="16.5" customHeight="1" x14ac:dyDescent="0.25">
      <c r="A127" s="121" t="s">
        <v>190</v>
      </c>
      <c r="B127" s="121"/>
      <c r="C127" s="121"/>
      <c r="D127" s="5">
        <f t="shared" ref="D127:D140" si="8">D100</f>
        <v>63.68</v>
      </c>
      <c r="E127" s="5">
        <v>0.49</v>
      </c>
      <c r="F127" s="69">
        <f>(PI())*((E127/2)^2)</f>
        <v>0.189</v>
      </c>
      <c r="G127" s="5">
        <f>D127*F127</f>
        <v>12.04</v>
      </c>
      <c r="H127" s="127">
        <f>J75+J79</f>
        <v>366.7</v>
      </c>
      <c r="I127" s="128"/>
      <c r="J127" s="124">
        <f>H127-G142</f>
        <v>297.64999999999998</v>
      </c>
      <c r="L127" s="72"/>
      <c r="N127" s="72"/>
    </row>
    <row r="128" spans="1:14" ht="16.5" customHeight="1" x14ac:dyDescent="0.25">
      <c r="A128" s="121" t="s">
        <v>205</v>
      </c>
      <c r="B128" s="121"/>
      <c r="C128" s="121"/>
      <c r="D128" s="5">
        <f t="shared" si="8"/>
        <v>6.62</v>
      </c>
      <c r="E128" s="5">
        <v>0.49</v>
      </c>
      <c r="F128" s="69">
        <f t="shared" ref="F128:F141" si="9">(PI())*((E128/2)^2)</f>
        <v>0.189</v>
      </c>
      <c r="G128" s="5">
        <f t="shared" ref="G128:G141" si="10">D128*F128</f>
        <v>1.25</v>
      </c>
      <c r="H128" s="129"/>
      <c r="I128" s="130"/>
      <c r="J128" s="124"/>
      <c r="L128" s="72"/>
      <c r="N128" s="72"/>
    </row>
    <row r="129" spans="1:14" ht="16.5" customHeight="1" x14ac:dyDescent="0.25">
      <c r="A129" s="121" t="s">
        <v>206</v>
      </c>
      <c r="B129" s="121"/>
      <c r="C129" s="121"/>
      <c r="D129" s="5">
        <f t="shared" si="8"/>
        <v>3.93</v>
      </c>
      <c r="E129" s="5">
        <v>0.49</v>
      </c>
      <c r="F129" s="69">
        <f t="shared" si="9"/>
        <v>0.189</v>
      </c>
      <c r="G129" s="5">
        <f t="shared" si="10"/>
        <v>0.74</v>
      </c>
      <c r="H129" s="129"/>
      <c r="I129" s="130"/>
      <c r="J129" s="124"/>
      <c r="L129" s="72"/>
      <c r="N129" s="72"/>
    </row>
    <row r="130" spans="1:14" ht="16.5" customHeight="1" x14ac:dyDescent="0.25">
      <c r="A130" s="121" t="s">
        <v>207</v>
      </c>
      <c r="B130" s="121"/>
      <c r="C130" s="121"/>
      <c r="D130" s="5">
        <f t="shared" si="8"/>
        <v>4.08</v>
      </c>
      <c r="E130" s="5">
        <v>0.49</v>
      </c>
      <c r="F130" s="69">
        <f t="shared" si="9"/>
        <v>0.189</v>
      </c>
      <c r="G130" s="5">
        <f t="shared" si="10"/>
        <v>0.77</v>
      </c>
      <c r="H130" s="129"/>
      <c r="I130" s="130"/>
      <c r="J130" s="124"/>
      <c r="L130" s="72"/>
      <c r="N130" s="72"/>
    </row>
    <row r="131" spans="1:14" ht="16.5" customHeight="1" x14ac:dyDescent="0.25">
      <c r="A131" s="121" t="s">
        <v>208</v>
      </c>
      <c r="B131" s="121"/>
      <c r="C131" s="121"/>
      <c r="D131" s="5">
        <f t="shared" si="8"/>
        <v>4.83</v>
      </c>
      <c r="E131" s="5">
        <v>0.49</v>
      </c>
      <c r="F131" s="69">
        <f t="shared" si="9"/>
        <v>0.189</v>
      </c>
      <c r="G131" s="5">
        <f t="shared" si="10"/>
        <v>0.91</v>
      </c>
      <c r="H131" s="129"/>
      <c r="I131" s="130"/>
      <c r="J131" s="124"/>
      <c r="L131" s="72"/>
      <c r="N131" s="72"/>
    </row>
    <row r="132" spans="1:14" ht="16.5" customHeight="1" x14ac:dyDescent="0.25">
      <c r="A132" s="121" t="s">
        <v>209</v>
      </c>
      <c r="B132" s="121"/>
      <c r="C132" s="121"/>
      <c r="D132" s="5">
        <f t="shared" si="8"/>
        <v>3.14</v>
      </c>
      <c r="E132" s="5">
        <v>0.49</v>
      </c>
      <c r="F132" s="69">
        <f t="shared" si="9"/>
        <v>0.189</v>
      </c>
      <c r="G132" s="5">
        <f t="shared" si="10"/>
        <v>0.59</v>
      </c>
      <c r="H132" s="129"/>
      <c r="I132" s="130"/>
      <c r="J132" s="124"/>
      <c r="L132" s="72"/>
      <c r="N132" s="72"/>
    </row>
    <row r="133" spans="1:14" ht="16.5" customHeight="1" x14ac:dyDescent="0.25">
      <c r="A133" s="121" t="s">
        <v>210</v>
      </c>
      <c r="B133" s="121"/>
      <c r="C133" s="121"/>
      <c r="D133" s="5">
        <f t="shared" si="8"/>
        <v>6.8</v>
      </c>
      <c r="E133" s="5">
        <v>0.49</v>
      </c>
      <c r="F133" s="69">
        <f t="shared" si="9"/>
        <v>0.189</v>
      </c>
      <c r="G133" s="5">
        <f t="shared" si="10"/>
        <v>1.29</v>
      </c>
      <c r="H133" s="129"/>
      <c r="I133" s="130"/>
      <c r="J133" s="124"/>
      <c r="L133" s="72"/>
      <c r="N133" s="72"/>
    </row>
    <row r="134" spans="1:14" ht="16.5" customHeight="1" x14ac:dyDescent="0.25">
      <c r="A134" s="121" t="s">
        <v>211</v>
      </c>
      <c r="B134" s="121"/>
      <c r="C134" s="121"/>
      <c r="D134" s="5">
        <f t="shared" si="8"/>
        <v>4.4800000000000004</v>
      </c>
      <c r="E134" s="5">
        <v>0.49</v>
      </c>
      <c r="F134" s="69">
        <f t="shared" si="9"/>
        <v>0.189</v>
      </c>
      <c r="G134" s="5">
        <f t="shared" si="10"/>
        <v>0.85</v>
      </c>
      <c r="H134" s="129"/>
      <c r="I134" s="130"/>
      <c r="J134" s="124"/>
      <c r="L134" s="72"/>
      <c r="N134" s="72"/>
    </row>
    <row r="135" spans="1:14" ht="16.5" customHeight="1" x14ac:dyDescent="0.25">
      <c r="A135" s="121" t="s">
        <v>212</v>
      </c>
      <c r="B135" s="121"/>
      <c r="C135" s="121"/>
      <c r="D135" s="5">
        <f t="shared" si="8"/>
        <v>4.03</v>
      </c>
      <c r="E135" s="5">
        <v>0.49</v>
      </c>
      <c r="F135" s="69">
        <f t="shared" si="9"/>
        <v>0.189</v>
      </c>
      <c r="G135" s="5">
        <f t="shared" si="10"/>
        <v>0.76</v>
      </c>
      <c r="H135" s="129"/>
      <c r="I135" s="130"/>
      <c r="J135" s="124"/>
      <c r="L135" s="72"/>
      <c r="N135" s="72"/>
    </row>
    <row r="136" spans="1:14" ht="16.5" customHeight="1" x14ac:dyDescent="0.25">
      <c r="A136" s="121" t="s">
        <v>213</v>
      </c>
      <c r="B136" s="121"/>
      <c r="C136" s="121"/>
      <c r="D136" s="5">
        <f t="shared" si="8"/>
        <v>4.78</v>
      </c>
      <c r="E136" s="5">
        <v>0.49</v>
      </c>
      <c r="F136" s="69">
        <f t="shared" si="9"/>
        <v>0.189</v>
      </c>
      <c r="G136" s="5">
        <f t="shared" si="10"/>
        <v>0.9</v>
      </c>
      <c r="H136" s="129"/>
      <c r="I136" s="130"/>
      <c r="J136" s="124"/>
      <c r="L136" s="72"/>
      <c r="N136" s="72"/>
    </row>
    <row r="137" spans="1:14" ht="16.5" customHeight="1" x14ac:dyDescent="0.25">
      <c r="A137" s="121" t="s">
        <v>214</v>
      </c>
      <c r="B137" s="121"/>
      <c r="C137" s="121"/>
      <c r="D137" s="5">
        <f t="shared" si="8"/>
        <v>6.45</v>
      </c>
      <c r="E137" s="5">
        <v>0.49</v>
      </c>
      <c r="F137" s="69">
        <f t="shared" si="9"/>
        <v>0.189</v>
      </c>
      <c r="G137" s="5">
        <f t="shared" si="10"/>
        <v>1.22</v>
      </c>
      <c r="H137" s="129"/>
      <c r="I137" s="130"/>
      <c r="J137" s="124"/>
      <c r="L137" s="72"/>
      <c r="M137" s="72"/>
      <c r="N137" s="72"/>
    </row>
    <row r="138" spans="1:14" ht="16.5" customHeight="1" x14ac:dyDescent="0.25">
      <c r="A138" s="121" t="s">
        <v>215</v>
      </c>
      <c r="B138" s="121"/>
      <c r="C138" s="121"/>
      <c r="D138" s="5">
        <f t="shared" si="8"/>
        <v>3.76</v>
      </c>
      <c r="E138" s="5">
        <v>0.49</v>
      </c>
      <c r="F138" s="69">
        <f t="shared" si="9"/>
        <v>0.189</v>
      </c>
      <c r="G138" s="5">
        <f t="shared" si="10"/>
        <v>0.71</v>
      </c>
      <c r="H138" s="129"/>
      <c r="I138" s="130"/>
      <c r="J138" s="124"/>
      <c r="L138" s="72"/>
      <c r="N138" s="72"/>
    </row>
    <row r="139" spans="1:14" ht="16.5" customHeight="1" x14ac:dyDescent="0.25">
      <c r="A139" s="121" t="s">
        <v>216</v>
      </c>
      <c r="B139" s="121"/>
      <c r="C139" s="121"/>
      <c r="D139" s="5">
        <f t="shared" si="8"/>
        <v>4.0599999999999996</v>
      </c>
      <c r="E139" s="5">
        <v>0.49</v>
      </c>
      <c r="F139" s="69">
        <f t="shared" si="9"/>
        <v>0.189</v>
      </c>
      <c r="G139" s="5">
        <f t="shared" si="10"/>
        <v>0.77</v>
      </c>
      <c r="H139" s="129"/>
      <c r="I139" s="130"/>
      <c r="J139" s="124"/>
      <c r="L139" s="72"/>
      <c r="N139" s="72"/>
    </row>
    <row r="140" spans="1:14" ht="16.5" customHeight="1" x14ac:dyDescent="0.25">
      <c r="A140" s="121" t="s">
        <v>217</v>
      </c>
      <c r="B140" s="121"/>
      <c r="C140" s="121"/>
      <c r="D140" s="5">
        <f t="shared" si="8"/>
        <v>4.8899999999999997</v>
      </c>
      <c r="E140" s="5">
        <v>0.49</v>
      </c>
      <c r="F140" s="69">
        <f t="shared" si="9"/>
        <v>0.189</v>
      </c>
      <c r="G140" s="5">
        <f t="shared" si="10"/>
        <v>0.92</v>
      </c>
      <c r="H140" s="129"/>
      <c r="I140" s="130"/>
      <c r="J140" s="124"/>
      <c r="L140" s="72"/>
      <c r="N140" s="72"/>
    </row>
    <row r="141" spans="1:14" ht="16.5" customHeight="1" x14ac:dyDescent="0.25">
      <c r="A141" s="121" t="s">
        <v>191</v>
      </c>
      <c r="B141" s="121"/>
      <c r="C141" s="121"/>
      <c r="D141" s="5">
        <f>D117</f>
        <v>121.2</v>
      </c>
      <c r="E141" s="5">
        <v>0.69</v>
      </c>
      <c r="F141" s="69">
        <f t="shared" si="9"/>
        <v>0.374</v>
      </c>
      <c r="G141" s="5">
        <f t="shared" si="10"/>
        <v>45.33</v>
      </c>
      <c r="H141" s="129"/>
      <c r="I141" s="130"/>
      <c r="J141" s="124"/>
      <c r="L141" s="72"/>
      <c r="N141" s="72"/>
    </row>
    <row r="142" spans="1:14" ht="16.5" customHeight="1" x14ac:dyDescent="0.25">
      <c r="A142" s="123" t="s">
        <v>221</v>
      </c>
      <c r="B142" s="123"/>
      <c r="C142" s="123"/>
      <c r="D142" s="123"/>
      <c r="E142" s="123"/>
      <c r="F142" s="123"/>
      <c r="G142" s="68">
        <f>SUM(G127:G141)</f>
        <v>69.05</v>
      </c>
      <c r="H142" s="131"/>
      <c r="I142" s="132"/>
      <c r="J142" s="124"/>
    </row>
    <row r="143" spans="1:14" ht="16.5" customHeight="1" x14ac:dyDescent="0.25">
      <c r="A143" s="100" t="str">
        <f>"TOTAL - "&amp;'Plan. Orçamentária'!G35</f>
        <v>TOTAL - M3</v>
      </c>
      <c r="B143" s="100"/>
      <c r="C143" s="100"/>
      <c r="D143" s="100"/>
      <c r="E143" s="100"/>
      <c r="F143" s="100"/>
      <c r="G143" s="100"/>
      <c r="H143" s="100"/>
      <c r="I143" s="100"/>
      <c r="J143" s="55">
        <f>SUM(J127)</f>
        <v>297.64999999999998</v>
      </c>
    </row>
    <row r="144" spans="1:14" ht="38.25" customHeight="1" x14ac:dyDescent="0.25">
      <c r="A144" s="17" t="str">
        <f>'Plan. Orçamentária'!A36</f>
        <v>5.8</v>
      </c>
      <c r="B144" s="133" t="str">
        <f>'Plan. Orçamentária'!E36</f>
        <v>Boca de lobo simples, dimensões internas de 85x28x100cm (comp. x larg. x alt.) em alvenaria de blocos de concreto, cheios em concreto Fck ≥ 20MPa, sobre lastro de concreto 10cm, incluindo escavação e reaterro compactado, conforme projeto. Inclusive reboco para alvenaria interna, grelha GR 95 ferro fundido, cantoneira e bota fora (Tipo A - ferro fundido)</v>
      </c>
      <c r="C144" s="133"/>
      <c r="D144" s="133"/>
      <c r="E144" s="133"/>
      <c r="F144" s="133"/>
      <c r="G144" s="133"/>
      <c r="H144" s="133"/>
      <c r="I144" s="133"/>
      <c r="J144" s="133"/>
    </row>
    <row r="145" spans="1:10" ht="16.5" customHeight="1" x14ac:dyDescent="0.25">
      <c r="A145" s="126" t="s">
        <v>12</v>
      </c>
      <c r="B145" s="126"/>
      <c r="C145" s="126"/>
      <c r="D145" s="61" t="s">
        <v>13</v>
      </c>
      <c r="E145" s="61" t="s">
        <v>14</v>
      </c>
      <c r="F145" s="61" t="s">
        <v>15</v>
      </c>
      <c r="G145" s="61" t="s">
        <v>16</v>
      </c>
      <c r="H145" s="61" t="s">
        <v>18</v>
      </c>
      <c r="I145" s="61" t="s">
        <v>28</v>
      </c>
      <c r="J145" s="61" t="s">
        <v>19</v>
      </c>
    </row>
    <row r="146" spans="1:10" ht="16.5" customHeight="1" x14ac:dyDescent="0.25">
      <c r="A146" s="121" t="s">
        <v>190</v>
      </c>
      <c r="B146" s="121"/>
      <c r="C146" s="121"/>
      <c r="D146" s="5"/>
      <c r="E146" s="5"/>
      <c r="F146" s="5"/>
      <c r="G146" s="5">
        <v>5</v>
      </c>
      <c r="H146" s="5"/>
      <c r="I146" s="5"/>
      <c r="J146" s="5">
        <f>PRODUCT(D146:H146)-I146</f>
        <v>5</v>
      </c>
    </row>
    <row r="147" spans="1:10" ht="16.5" customHeight="1" x14ac:dyDescent="0.25">
      <c r="A147" s="121" t="s">
        <v>191</v>
      </c>
      <c r="B147" s="121"/>
      <c r="C147" s="121"/>
      <c r="D147" s="5"/>
      <c r="E147" s="5"/>
      <c r="F147" s="5"/>
      <c r="G147" s="5">
        <v>8</v>
      </c>
      <c r="H147" s="5"/>
      <c r="I147" s="5"/>
      <c r="J147" s="5">
        <f>PRODUCT(D147:H147)-I147</f>
        <v>8</v>
      </c>
    </row>
    <row r="148" spans="1:10" ht="16.5" customHeight="1" x14ac:dyDescent="0.25">
      <c r="A148" s="100" t="str">
        <f>"TOTAL - "&amp;'Plan. Orçamentária'!G36</f>
        <v>TOTAL - U</v>
      </c>
      <c r="B148" s="100"/>
      <c r="C148" s="100"/>
      <c r="D148" s="100"/>
      <c r="E148" s="100"/>
      <c r="F148" s="100"/>
      <c r="G148" s="100"/>
      <c r="H148" s="100"/>
      <c r="I148" s="100"/>
      <c r="J148" s="55">
        <f>SUM(J146:J147)</f>
        <v>13</v>
      </c>
    </row>
    <row r="149" spans="1:10" ht="15" x14ac:dyDescent="0.25">
      <c r="A149" s="17" t="str">
        <f>'Plan. Orçamentária'!A37</f>
        <v>5.9</v>
      </c>
      <c r="B149" s="134" t="str">
        <f>'Plan. Orçamentária'!E37</f>
        <v>Base para caixa de passagem retangular para drenagem, em alvenaria com blocos de concreto, dimensões internas 1m x 1m, profundiade de 1,45 metros, exclui tampão</v>
      </c>
      <c r="C149" s="134"/>
      <c r="D149" s="134"/>
      <c r="E149" s="134"/>
      <c r="F149" s="134"/>
      <c r="G149" s="134"/>
      <c r="H149" s="134"/>
      <c r="I149" s="134"/>
      <c r="J149" s="134"/>
    </row>
    <row r="150" spans="1:10" ht="16.5" customHeight="1" x14ac:dyDescent="0.25">
      <c r="A150" s="126" t="s">
        <v>12</v>
      </c>
      <c r="B150" s="126"/>
      <c r="C150" s="126"/>
      <c r="D150" s="61" t="s">
        <v>13</v>
      </c>
      <c r="E150" s="61" t="s">
        <v>14</v>
      </c>
      <c r="F150" s="61" t="s">
        <v>15</v>
      </c>
      <c r="G150" s="61" t="s">
        <v>16</v>
      </c>
      <c r="H150" s="61" t="s">
        <v>18</v>
      </c>
      <c r="I150" s="61" t="s">
        <v>28</v>
      </c>
      <c r="J150" s="61" t="s">
        <v>19</v>
      </c>
    </row>
    <row r="151" spans="1:10" ht="16.5" customHeight="1" x14ac:dyDescent="0.25">
      <c r="A151" s="121" t="s">
        <v>227</v>
      </c>
      <c r="B151" s="121"/>
      <c r="C151" s="121"/>
      <c r="D151" s="5"/>
      <c r="E151" s="5"/>
      <c r="F151" s="5"/>
      <c r="G151" s="5">
        <v>2</v>
      </c>
      <c r="H151" s="5"/>
      <c r="I151" s="5"/>
      <c r="J151" s="5">
        <f>PRODUCT(D151:H151)-I151</f>
        <v>2</v>
      </c>
    </row>
    <row r="152" spans="1:10" ht="16.5" customHeight="1" x14ac:dyDescent="0.25">
      <c r="A152" s="121" t="s">
        <v>226</v>
      </c>
      <c r="B152" s="121"/>
      <c r="C152" s="121"/>
      <c r="D152" s="5"/>
      <c r="E152" s="5"/>
      <c r="F152" s="5"/>
      <c r="G152" s="5">
        <v>3</v>
      </c>
      <c r="H152" s="5"/>
      <c r="I152" s="5"/>
      <c r="J152" s="5">
        <f>PRODUCT(D152:H152)-I152</f>
        <v>3</v>
      </c>
    </row>
    <row r="153" spans="1:10" ht="16.5" customHeight="1" x14ac:dyDescent="0.25">
      <c r="A153" s="100" t="str">
        <f>"TOTAL - "&amp;'Plan. Orçamentária'!G37</f>
        <v>TOTAL - UN</v>
      </c>
      <c r="B153" s="100"/>
      <c r="C153" s="100"/>
      <c r="D153" s="100"/>
      <c r="E153" s="100"/>
      <c r="F153" s="100"/>
      <c r="G153" s="100"/>
      <c r="H153" s="100"/>
      <c r="I153" s="100"/>
      <c r="J153" s="55">
        <f>SUM(J151:J152)</f>
        <v>5</v>
      </c>
    </row>
    <row r="154" spans="1:10" ht="16.5" customHeight="1" x14ac:dyDescent="0.25">
      <c r="A154" s="17" t="str">
        <f>'Plan. Orçamentária'!A38</f>
        <v>5.10</v>
      </c>
      <c r="B154" s="134" t="str">
        <f>'Plan. Orçamentária'!E38</f>
        <v>Acréscimo para poço de visita retangular para drenagem, em alvenaria com blocos de concreto, dimensões internas de 1x1 metros.</v>
      </c>
      <c r="C154" s="134"/>
      <c r="D154" s="134"/>
      <c r="E154" s="134"/>
      <c r="F154" s="134"/>
      <c r="G154" s="134"/>
      <c r="H154" s="134"/>
      <c r="I154" s="134"/>
      <c r="J154" s="134"/>
    </row>
    <row r="155" spans="1:10" ht="16.5" customHeight="1" x14ac:dyDescent="0.25">
      <c r="A155" s="126" t="s">
        <v>12</v>
      </c>
      <c r="B155" s="126"/>
      <c r="C155" s="126"/>
      <c r="D155" s="61" t="s">
        <v>13</v>
      </c>
      <c r="E155" s="61" t="s">
        <v>14</v>
      </c>
      <c r="F155" s="61" t="s">
        <v>15</v>
      </c>
      <c r="G155" s="61" t="s">
        <v>16</v>
      </c>
      <c r="H155" s="61" t="s">
        <v>18</v>
      </c>
      <c r="I155" s="61" t="s">
        <v>28</v>
      </c>
      <c r="J155" s="61" t="s">
        <v>19</v>
      </c>
    </row>
    <row r="156" spans="1:10" ht="16.5" customHeight="1" x14ac:dyDescent="0.25">
      <c r="A156" s="121" t="s">
        <v>228</v>
      </c>
      <c r="B156" s="121"/>
      <c r="C156" s="121"/>
      <c r="D156" s="5">
        <f>581.07-579.57</f>
        <v>1.5</v>
      </c>
      <c r="E156" s="5"/>
      <c r="F156" s="5"/>
      <c r="G156" s="5"/>
      <c r="H156" s="5"/>
      <c r="I156" s="5">
        <v>1.45</v>
      </c>
      <c r="J156" s="5">
        <f t="shared" ref="J156:J160" si="11">PRODUCT(D156:H156)-I156</f>
        <v>0.05</v>
      </c>
    </row>
    <row r="157" spans="1:10" ht="16.5" customHeight="1" x14ac:dyDescent="0.25">
      <c r="A157" s="121" t="s">
        <v>229</v>
      </c>
      <c r="B157" s="121"/>
      <c r="C157" s="121"/>
      <c r="D157" s="5">
        <f>579.61-577.828</f>
        <v>1.78</v>
      </c>
      <c r="E157" s="5"/>
      <c r="F157" s="5"/>
      <c r="G157" s="5"/>
      <c r="H157" s="5"/>
      <c r="I157" s="5">
        <v>1.45</v>
      </c>
      <c r="J157" s="5">
        <f t="shared" si="11"/>
        <v>0.33</v>
      </c>
    </row>
    <row r="158" spans="1:10" ht="16.5" customHeight="1" x14ac:dyDescent="0.25">
      <c r="A158" s="121" t="s">
        <v>230</v>
      </c>
      <c r="B158" s="121"/>
      <c r="C158" s="121"/>
      <c r="D158" s="5">
        <f>577.07-575.57</f>
        <v>1.5</v>
      </c>
      <c r="E158" s="5"/>
      <c r="F158" s="5"/>
      <c r="G158" s="5"/>
      <c r="H158" s="5"/>
      <c r="I158" s="5">
        <v>1.45</v>
      </c>
      <c r="J158" s="5">
        <f t="shared" si="11"/>
        <v>0.05</v>
      </c>
    </row>
    <row r="159" spans="1:10" ht="16.5" customHeight="1" x14ac:dyDescent="0.25">
      <c r="A159" s="121" t="s">
        <v>231</v>
      </c>
      <c r="B159" s="121"/>
      <c r="C159" s="121"/>
      <c r="D159" s="5">
        <f>576.11-573.711</f>
        <v>2.4</v>
      </c>
      <c r="E159" s="5"/>
      <c r="F159" s="5"/>
      <c r="G159" s="5"/>
      <c r="H159" s="5"/>
      <c r="I159" s="5">
        <v>1.45</v>
      </c>
      <c r="J159" s="5">
        <f t="shared" si="11"/>
        <v>0.95</v>
      </c>
    </row>
    <row r="160" spans="1:10" ht="16.5" customHeight="1" x14ac:dyDescent="0.25">
      <c r="A160" s="121" t="s">
        <v>232</v>
      </c>
      <c r="B160" s="121"/>
      <c r="C160" s="121"/>
      <c r="D160" s="5">
        <f>571.97-570.07</f>
        <v>1.9</v>
      </c>
      <c r="E160" s="5"/>
      <c r="F160" s="5"/>
      <c r="G160" s="5"/>
      <c r="H160" s="5"/>
      <c r="I160" s="5">
        <v>1.45</v>
      </c>
      <c r="J160" s="5">
        <f t="shared" si="11"/>
        <v>0.45</v>
      </c>
    </row>
    <row r="161" spans="1:10" ht="16.5" customHeight="1" x14ac:dyDescent="0.25">
      <c r="A161" s="100" t="str">
        <f>"TOTAL - "&amp;'Plan. Orçamentária'!G38</f>
        <v>TOTAL - M</v>
      </c>
      <c r="B161" s="100"/>
      <c r="C161" s="100"/>
      <c r="D161" s="100"/>
      <c r="E161" s="100"/>
      <c r="F161" s="100"/>
      <c r="G161" s="100"/>
      <c r="H161" s="100"/>
      <c r="I161" s="100"/>
      <c r="J161" s="55">
        <f>SUM(J156:J160)</f>
        <v>1.83</v>
      </c>
    </row>
    <row r="162" spans="1:10" ht="16.5" customHeight="1" x14ac:dyDescent="0.25">
      <c r="A162" s="17" t="str">
        <f>'Plan. Orçamentária'!A39</f>
        <v>5.11</v>
      </c>
      <c r="B162" s="134" t="str">
        <f>'Plan. Orçamentária'!E39</f>
        <v>Tampa de concreto armado para caixa de inspeção em alvenaria e=15 cm</v>
      </c>
      <c r="C162" s="134"/>
      <c r="D162" s="134"/>
      <c r="E162" s="134"/>
      <c r="F162" s="134"/>
      <c r="G162" s="134"/>
      <c r="H162" s="134"/>
      <c r="I162" s="134"/>
      <c r="J162" s="134"/>
    </row>
    <row r="163" spans="1:10" ht="16.5" customHeight="1" x14ac:dyDescent="0.25">
      <c r="A163" s="126" t="s">
        <v>12</v>
      </c>
      <c r="B163" s="126"/>
      <c r="C163" s="126"/>
      <c r="D163" s="61" t="s">
        <v>13</v>
      </c>
      <c r="E163" s="61" t="s">
        <v>14</v>
      </c>
      <c r="F163" s="61" t="s">
        <v>15</v>
      </c>
      <c r="G163" s="61" t="s">
        <v>16</v>
      </c>
      <c r="H163" s="61" t="s">
        <v>18</v>
      </c>
      <c r="I163" s="61" t="s">
        <v>28</v>
      </c>
      <c r="J163" s="61" t="s">
        <v>19</v>
      </c>
    </row>
    <row r="164" spans="1:10" ht="16.5" customHeight="1" x14ac:dyDescent="0.25">
      <c r="A164" s="121" t="s">
        <v>190</v>
      </c>
      <c r="B164" s="121"/>
      <c r="C164" s="121"/>
      <c r="D164" s="5">
        <v>1.4</v>
      </c>
      <c r="E164" s="5">
        <v>1.4</v>
      </c>
      <c r="F164" s="5"/>
      <c r="G164" s="5">
        <v>2</v>
      </c>
      <c r="H164" s="5"/>
      <c r="I164" s="5"/>
      <c r="J164" s="5">
        <f>PRODUCT(D164:H164)-I164</f>
        <v>3.92</v>
      </c>
    </row>
    <row r="165" spans="1:10" ht="16.5" customHeight="1" x14ac:dyDescent="0.25">
      <c r="A165" s="121" t="s">
        <v>191</v>
      </c>
      <c r="B165" s="121"/>
      <c r="C165" s="121"/>
      <c r="D165" s="5">
        <v>1.4</v>
      </c>
      <c r="E165" s="5">
        <v>1.4</v>
      </c>
      <c r="F165" s="5"/>
      <c r="G165" s="5">
        <v>3</v>
      </c>
      <c r="H165" s="5"/>
      <c r="I165" s="5"/>
      <c r="J165" s="5">
        <f>PRODUCT(D165:H165)-I165</f>
        <v>5.88</v>
      </c>
    </row>
    <row r="166" spans="1:10" ht="16.5" customHeight="1" x14ac:dyDescent="0.25">
      <c r="A166" s="100" t="str">
        <f>"TOTAL - "&amp;'Plan. Orçamentária'!G39</f>
        <v>TOTAL - M2</v>
      </c>
      <c r="B166" s="100"/>
      <c r="C166" s="100"/>
      <c r="D166" s="100"/>
      <c r="E166" s="100"/>
      <c r="F166" s="100"/>
      <c r="G166" s="100"/>
      <c r="H166" s="100"/>
      <c r="I166" s="100"/>
      <c r="J166" s="55">
        <f>SUM(J164:J165)</f>
        <v>9.8000000000000007</v>
      </c>
    </row>
    <row r="167" spans="1:10" ht="16.5" customHeight="1" x14ac:dyDescent="0.25">
      <c r="A167" s="143" t="s">
        <v>290</v>
      </c>
      <c r="B167" s="144"/>
      <c r="C167" s="144"/>
      <c r="D167" s="144"/>
      <c r="E167" s="144"/>
      <c r="F167" s="144"/>
      <c r="G167" s="144"/>
      <c r="H167" s="144"/>
      <c r="I167" s="144"/>
      <c r="J167" s="145"/>
    </row>
    <row r="168" spans="1:10" ht="16.5" customHeight="1" x14ac:dyDescent="0.25">
      <c r="A168" s="17" t="str">
        <f>'Plan. Orçamentária'!A42</f>
        <v>6.1</v>
      </c>
      <c r="B168" s="133" t="str">
        <f>'Plan. Orçamentária'!E42</f>
        <v>Demolição manual de pavimento poliédrica, inclusive afastamento</v>
      </c>
      <c r="C168" s="133"/>
      <c r="D168" s="133"/>
      <c r="E168" s="133"/>
      <c r="F168" s="133"/>
      <c r="G168" s="133"/>
      <c r="H168" s="133"/>
      <c r="I168" s="133"/>
      <c r="J168" s="133"/>
    </row>
    <row r="169" spans="1:10" ht="16.5" customHeight="1" x14ac:dyDescent="0.25">
      <c r="A169" s="126" t="s">
        <v>12</v>
      </c>
      <c r="B169" s="126"/>
      <c r="C169" s="126"/>
      <c r="D169" s="61" t="s">
        <v>13</v>
      </c>
      <c r="E169" s="61" t="s">
        <v>14</v>
      </c>
      <c r="F169" s="61" t="s">
        <v>15</v>
      </c>
      <c r="G169" s="61" t="s">
        <v>16</v>
      </c>
      <c r="H169" s="61" t="s">
        <v>18</v>
      </c>
      <c r="I169" s="61" t="s">
        <v>28</v>
      </c>
      <c r="J169" s="61" t="s">
        <v>19</v>
      </c>
    </row>
    <row r="170" spans="1:10" ht="16.5" customHeight="1" x14ac:dyDescent="0.25">
      <c r="A170" s="121" t="s">
        <v>53</v>
      </c>
      <c r="B170" s="121"/>
      <c r="C170" s="121"/>
      <c r="D170" s="5"/>
      <c r="E170" s="5"/>
      <c r="F170" s="5"/>
      <c r="G170" s="5"/>
      <c r="H170" s="5">
        <v>2017.4</v>
      </c>
      <c r="I170" s="5"/>
      <c r="J170" s="5">
        <f>PRODUCT(D170:H170)-I170</f>
        <v>2017.4</v>
      </c>
    </row>
    <row r="171" spans="1:10" ht="16.5" customHeight="1" x14ac:dyDescent="0.25">
      <c r="A171" s="100" t="str">
        <f>"TOTAL - "&amp;'Plan. Orçamentária'!G42</f>
        <v>TOTAL - M2</v>
      </c>
      <c r="B171" s="100"/>
      <c r="C171" s="100"/>
      <c r="D171" s="100"/>
      <c r="E171" s="100"/>
      <c r="F171" s="100"/>
      <c r="G171" s="100"/>
      <c r="H171" s="100"/>
      <c r="I171" s="100"/>
      <c r="J171" s="55">
        <f>SUM(J170:J170)</f>
        <v>2017.4</v>
      </c>
    </row>
    <row r="172" spans="1:10" ht="16.5" customHeight="1" x14ac:dyDescent="0.25">
      <c r="A172" s="17" t="str">
        <f>'Plan. Orçamentária'!A43</f>
        <v>6.2</v>
      </c>
      <c r="B172" s="133" t="str">
        <f>'Plan. Orçamentária'!E43</f>
        <v>Carga de material de qualquer natureza sobre caminhão basculante, de forma mecanizada</v>
      </c>
      <c r="C172" s="133"/>
      <c r="D172" s="133"/>
      <c r="E172" s="133"/>
      <c r="F172" s="133"/>
      <c r="G172" s="133"/>
      <c r="H172" s="133"/>
      <c r="I172" s="133"/>
      <c r="J172" s="133"/>
    </row>
    <row r="173" spans="1:10" ht="16.5" customHeight="1" x14ac:dyDescent="0.25">
      <c r="A173" s="126" t="s">
        <v>12</v>
      </c>
      <c r="B173" s="126"/>
      <c r="C173" s="126"/>
      <c r="D173" s="61" t="s">
        <v>13</v>
      </c>
      <c r="E173" s="61" t="s">
        <v>14</v>
      </c>
      <c r="F173" s="61" t="s">
        <v>15</v>
      </c>
      <c r="G173" s="61" t="s">
        <v>143</v>
      </c>
      <c r="H173" s="61" t="s">
        <v>144</v>
      </c>
      <c r="I173" s="61" t="s">
        <v>145</v>
      </c>
      <c r="J173" s="61" t="s">
        <v>19</v>
      </c>
    </row>
    <row r="174" spans="1:10" ht="25.5" customHeight="1" x14ac:dyDescent="0.25">
      <c r="A174" s="121" t="s">
        <v>146</v>
      </c>
      <c r="B174" s="121"/>
      <c r="C174" s="121"/>
      <c r="D174" s="5"/>
      <c r="E174" s="5"/>
      <c r="F174" s="5">
        <v>0.2</v>
      </c>
      <c r="G174" s="5">
        <f>J171</f>
        <v>2017.4</v>
      </c>
      <c r="H174" s="5"/>
      <c r="I174" s="5"/>
      <c r="J174" s="5">
        <f>PRODUCT(D174:H174)-I174</f>
        <v>403.48</v>
      </c>
    </row>
    <row r="175" spans="1:10" ht="16.5" customHeight="1" x14ac:dyDescent="0.25">
      <c r="A175" s="100" t="str">
        <f>"TOTAL - "&amp;'Plan. Orçamentária'!G43</f>
        <v>TOTAL - M3</v>
      </c>
      <c r="B175" s="100"/>
      <c r="C175" s="100"/>
      <c r="D175" s="100"/>
      <c r="E175" s="100"/>
      <c r="F175" s="100"/>
      <c r="G175" s="100"/>
      <c r="H175" s="100"/>
      <c r="I175" s="100"/>
      <c r="J175" s="55">
        <f>SUM(J174:J174)</f>
        <v>403.48</v>
      </c>
    </row>
    <row r="176" spans="1:10" ht="16.5" customHeight="1" x14ac:dyDescent="0.25">
      <c r="A176" s="17" t="str">
        <f>'Plan. Orçamentária'!A44</f>
        <v>6.3</v>
      </c>
      <c r="B176" s="133" t="str">
        <f>'Plan. Orçamentária'!E44</f>
        <v>Transporte em caminhão basculante de 6m³, em via urbana pavimentada, DMT até  30km</v>
      </c>
      <c r="C176" s="133"/>
      <c r="D176" s="133"/>
      <c r="E176" s="133"/>
      <c r="F176" s="133"/>
      <c r="G176" s="133"/>
      <c r="H176" s="133"/>
      <c r="I176" s="133"/>
      <c r="J176" s="133"/>
    </row>
    <row r="177" spans="1:10" s="18" customFormat="1" ht="16.5" customHeight="1" x14ac:dyDescent="0.25">
      <c r="A177" s="126" t="s">
        <v>12</v>
      </c>
      <c r="B177" s="126"/>
      <c r="C177" s="126"/>
      <c r="D177" s="61" t="s">
        <v>13</v>
      </c>
      <c r="E177" s="61" t="s">
        <v>14</v>
      </c>
      <c r="F177" s="61" t="s">
        <v>15</v>
      </c>
      <c r="G177" s="62" t="s">
        <v>143</v>
      </c>
      <c r="H177" s="62" t="s">
        <v>144</v>
      </c>
      <c r="I177" s="62" t="s">
        <v>145</v>
      </c>
      <c r="J177" s="61" t="s">
        <v>19</v>
      </c>
    </row>
    <row r="178" spans="1:10" ht="16.5" customHeight="1" x14ac:dyDescent="0.25">
      <c r="A178" s="121" t="s">
        <v>147</v>
      </c>
      <c r="B178" s="121"/>
      <c r="C178" s="121"/>
      <c r="D178" s="5"/>
      <c r="E178" s="5"/>
      <c r="F178" s="5"/>
      <c r="G178" s="5">
        <f>J175</f>
        <v>403.48</v>
      </c>
      <c r="H178" s="5">
        <f>2.6+2.8</f>
        <v>5.4</v>
      </c>
      <c r="I178" s="5">
        <v>1.5</v>
      </c>
      <c r="J178" s="5">
        <f>PRODUCT(D178:H178)-I178</f>
        <v>2177.29</v>
      </c>
    </row>
    <row r="179" spans="1:10" ht="16.5" customHeight="1" x14ac:dyDescent="0.25">
      <c r="A179" s="100" t="str">
        <f>"TOTAL - "&amp;'Plan. Orçamentária'!G44</f>
        <v>TOTAL - M3XKM</v>
      </c>
      <c r="B179" s="100"/>
      <c r="C179" s="100"/>
      <c r="D179" s="100"/>
      <c r="E179" s="100"/>
      <c r="F179" s="100"/>
      <c r="G179" s="100"/>
      <c r="H179" s="100"/>
      <c r="I179" s="100"/>
      <c r="J179" s="55">
        <f>SUM(J178:J178)</f>
        <v>2177.29</v>
      </c>
    </row>
    <row r="180" spans="1:10" ht="16.5" customHeight="1" x14ac:dyDescent="0.25">
      <c r="A180" s="143" t="s">
        <v>291</v>
      </c>
      <c r="B180" s="144"/>
      <c r="C180" s="144"/>
      <c r="D180" s="144"/>
      <c r="E180" s="144"/>
      <c r="F180" s="144"/>
      <c r="G180" s="144"/>
      <c r="H180" s="144"/>
      <c r="I180" s="144"/>
      <c r="J180" s="145"/>
    </row>
    <row r="181" spans="1:10" ht="28.5" customHeight="1" x14ac:dyDescent="0.25">
      <c r="A181" s="17" t="str">
        <f>'Plan. Orçamentária'!A47</f>
        <v>6.6</v>
      </c>
      <c r="B181" s="133" t="str">
        <f>'Plan. Orçamentária'!E47</f>
        <v>Meio-fio em concreto pré-fabricado Fck ≥ 15MPa, dimensões 80x13x10x35 cm (comprimento x face inferior x face superior x altura), para vias urbanas, inclusive escavação e reaterro</v>
      </c>
      <c r="C181" s="133"/>
      <c r="D181" s="133"/>
      <c r="E181" s="133"/>
      <c r="F181" s="133"/>
      <c r="G181" s="133"/>
      <c r="H181" s="133"/>
      <c r="I181" s="133"/>
      <c r="J181" s="133"/>
    </row>
    <row r="182" spans="1:10" ht="16.5" customHeight="1" x14ac:dyDescent="0.25">
      <c r="A182" s="126" t="s">
        <v>12</v>
      </c>
      <c r="B182" s="126"/>
      <c r="C182" s="126"/>
      <c r="D182" s="61" t="s">
        <v>13</v>
      </c>
      <c r="E182" s="61" t="s">
        <v>14</v>
      </c>
      <c r="F182" s="61" t="s">
        <v>15</v>
      </c>
      <c r="G182" s="61" t="s">
        <v>16</v>
      </c>
      <c r="H182" s="61" t="s">
        <v>18</v>
      </c>
      <c r="I182" s="61" t="s">
        <v>28</v>
      </c>
      <c r="J182" s="61" t="s">
        <v>19</v>
      </c>
    </row>
    <row r="183" spans="1:10" ht="16.5" customHeight="1" x14ac:dyDescent="0.25">
      <c r="A183" s="121" t="s">
        <v>153</v>
      </c>
      <c r="B183" s="121"/>
      <c r="C183" s="121"/>
      <c r="D183" s="5">
        <f>J244</f>
        <v>12</v>
      </c>
      <c r="E183" s="5"/>
      <c r="F183" s="5"/>
      <c r="G183" s="5"/>
      <c r="H183" s="5"/>
      <c r="I183" s="5"/>
      <c r="J183" s="5">
        <f>PRODUCT(D183:H183)-I183</f>
        <v>12</v>
      </c>
    </row>
    <row r="184" spans="1:10" ht="16.5" customHeight="1" x14ac:dyDescent="0.25">
      <c r="A184" s="121" t="s">
        <v>182</v>
      </c>
      <c r="B184" s="121"/>
      <c r="C184" s="121"/>
      <c r="D184" s="5">
        <v>7.09</v>
      </c>
      <c r="E184" s="5"/>
      <c r="F184" s="5"/>
      <c r="G184" s="5"/>
      <c r="H184" s="5"/>
      <c r="I184" s="5"/>
      <c r="J184" s="5">
        <f t="shared" ref="J184:J191" si="12">PRODUCT(D184:H184)-I184</f>
        <v>7.09</v>
      </c>
    </row>
    <row r="185" spans="1:10" ht="16.5" customHeight="1" x14ac:dyDescent="0.25">
      <c r="A185" s="121" t="s">
        <v>182</v>
      </c>
      <c r="B185" s="121"/>
      <c r="C185" s="121"/>
      <c r="D185" s="5">
        <v>11.71</v>
      </c>
      <c r="E185" s="5"/>
      <c r="F185" s="5"/>
      <c r="G185" s="5"/>
      <c r="H185" s="5"/>
      <c r="I185" s="5"/>
      <c r="J185" s="5">
        <f t="shared" si="12"/>
        <v>11.71</v>
      </c>
    </row>
    <row r="186" spans="1:10" ht="16.5" customHeight="1" x14ac:dyDescent="0.25">
      <c r="A186" s="121" t="s">
        <v>183</v>
      </c>
      <c r="B186" s="121"/>
      <c r="C186" s="121"/>
      <c r="D186" s="5">
        <v>7.02</v>
      </c>
      <c r="E186" s="5"/>
      <c r="F186" s="5"/>
      <c r="G186" s="5"/>
      <c r="H186" s="5"/>
      <c r="I186" s="5"/>
      <c r="J186" s="5">
        <f t="shared" si="12"/>
        <v>7.02</v>
      </c>
    </row>
    <row r="187" spans="1:10" ht="16.5" customHeight="1" x14ac:dyDescent="0.25">
      <c r="A187" s="135" t="s">
        <v>184</v>
      </c>
      <c r="B187" s="136"/>
      <c r="C187" s="137"/>
      <c r="D187" s="5">
        <v>6.73</v>
      </c>
      <c r="E187" s="5"/>
      <c r="F187" s="5"/>
      <c r="G187" s="5"/>
      <c r="H187" s="5"/>
      <c r="I187" s="5"/>
      <c r="J187" s="5">
        <f t="shared" si="12"/>
        <v>6.73</v>
      </c>
    </row>
    <row r="188" spans="1:10" ht="16.5" customHeight="1" x14ac:dyDescent="0.25">
      <c r="A188" s="138"/>
      <c r="B188" s="139"/>
      <c r="C188" s="140"/>
      <c r="D188" s="5">
        <v>5.05</v>
      </c>
      <c r="E188" s="5"/>
      <c r="F188" s="5"/>
      <c r="G188" s="5"/>
      <c r="H188" s="5"/>
      <c r="I188" s="5"/>
      <c r="J188" s="5">
        <f t="shared" si="12"/>
        <v>5.05</v>
      </c>
    </row>
    <row r="189" spans="1:10" ht="16.5" customHeight="1" x14ac:dyDescent="0.25">
      <c r="A189" s="121" t="s">
        <v>185</v>
      </c>
      <c r="B189" s="121"/>
      <c r="C189" s="121"/>
      <c r="D189" s="5">
        <v>6.9</v>
      </c>
      <c r="E189" s="5"/>
      <c r="F189" s="5"/>
      <c r="G189" s="5"/>
      <c r="H189" s="5"/>
      <c r="I189" s="5"/>
      <c r="J189" s="5">
        <f t="shared" si="12"/>
        <v>6.9</v>
      </c>
    </row>
    <row r="190" spans="1:10" ht="16.5" customHeight="1" x14ac:dyDescent="0.25">
      <c r="A190" s="121" t="s">
        <v>186</v>
      </c>
      <c r="B190" s="121"/>
      <c r="C190" s="121"/>
      <c r="D190" s="5">
        <v>6.83</v>
      </c>
      <c r="E190" s="5"/>
      <c r="F190" s="5"/>
      <c r="G190" s="5"/>
      <c r="H190" s="5"/>
      <c r="I190" s="5"/>
      <c r="J190" s="5">
        <f t="shared" si="12"/>
        <v>6.83</v>
      </c>
    </row>
    <row r="191" spans="1:10" ht="25.5" customHeight="1" x14ac:dyDescent="0.25">
      <c r="A191" s="121" t="s">
        <v>187</v>
      </c>
      <c r="B191" s="121"/>
      <c r="C191" s="121"/>
      <c r="D191" s="5">
        <v>10.3</v>
      </c>
      <c r="E191" s="5"/>
      <c r="F191" s="5"/>
      <c r="G191" s="5"/>
      <c r="H191" s="5"/>
      <c r="I191" s="5"/>
      <c r="J191" s="5">
        <f t="shared" si="12"/>
        <v>10.3</v>
      </c>
    </row>
    <row r="192" spans="1:10" ht="16.5" customHeight="1" x14ac:dyDescent="0.25">
      <c r="A192" s="100" t="str">
        <f>"TOTAL - "&amp;'Plan. Orçamentária'!G47</f>
        <v>TOTAL - M</v>
      </c>
      <c r="B192" s="100"/>
      <c r="C192" s="100"/>
      <c r="D192" s="100"/>
      <c r="E192" s="100"/>
      <c r="F192" s="100"/>
      <c r="G192" s="100"/>
      <c r="H192" s="100"/>
      <c r="I192" s="100"/>
      <c r="J192" s="55">
        <f>SUM(J183:J191)</f>
        <v>73.63</v>
      </c>
    </row>
    <row r="193" spans="1:10" ht="16.5" customHeight="1" x14ac:dyDescent="0.25">
      <c r="A193" s="143" t="s">
        <v>292</v>
      </c>
      <c r="B193" s="144"/>
      <c r="C193" s="144"/>
      <c r="D193" s="144"/>
      <c r="E193" s="144"/>
      <c r="F193" s="144"/>
      <c r="G193" s="144"/>
      <c r="H193" s="144"/>
      <c r="I193" s="144"/>
      <c r="J193" s="145"/>
    </row>
    <row r="194" spans="1:10" ht="16.5" customHeight="1" x14ac:dyDescent="0.25">
      <c r="A194" s="17" t="str">
        <f>'Plan. Orçamentária'!A49</f>
        <v>6.8</v>
      </c>
      <c r="B194" s="133" t="str">
        <f>'Plan. Orçamentária'!E49</f>
        <v>Sarjeta em concreto usinado, Fck ≥ 35 MPa, 30cm de base x 10cm de altura, incluindo formas e compactação do terreno</v>
      </c>
      <c r="C194" s="133"/>
      <c r="D194" s="133"/>
      <c r="E194" s="133"/>
      <c r="F194" s="133"/>
      <c r="G194" s="133"/>
      <c r="H194" s="133"/>
      <c r="I194" s="133"/>
      <c r="J194" s="133"/>
    </row>
    <row r="195" spans="1:10" ht="16.5" customHeight="1" x14ac:dyDescent="0.25">
      <c r="A195" s="126" t="s">
        <v>12</v>
      </c>
      <c r="B195" s="126"/>
      <c r="C195" s="126"/>
      <c r="D195" s="61" t="s">
        <v>13</v>
      </c>
      <c r="E195" s="61" t="s">
        <v>14</v>
      </c>
      <c r="F195" s="61" t="s">
        <v>15</v>
      </c>
      <c r="G195" s="61" t="s">
        <v>16</v>
      </c>
      <c r="H195" s="61" t="s">
        <v>18</v>
      </c>
      <c r="I195" s="61" t="s">
        <v>28</v>
      </c>
      <c r="J195" s="61" t="s">
        <v>19</v>
      </c>
    </row>
    <row r="196" spans="1:10" ht="16.5" customHeight="1" x14ac:dyDescent="0.25">
      <c r="A196" s="121" t="s">
        <v>155</v>
      </c>
      <c r="B196" s="121"/>
      <c r="C196" s="121"/>
      <c r="D196" s="5">
        <v>580.15</v>
      </c>
      <c r="E196" s="5"/>
      <c r="F196" s="5"/>
      <c r="G196" s="5"/>
      <c r="H196" s="5"/>
      <c r="I196" s="5"/>
      <c r="J196" s="5">
        <f>PRODUCT(D196:H196)-I196</f>
        <v>580.15</v>
      </c>
    </row>
    <row r="197" spans="1:10" ht="16.5" customHeight="1" x14ac:dyDescent="0.25">
      <c r="A197" s="100" t="str">
        <f>"TOTAL - "&amp;'Plan. Orçamentária'!G49</f>
        <v>TOTAL - M</v>
      </c>
      <c r="B197" s="100"/>
      <c r="C197" s="100"/>
      <c r="D197" s="100"/>
      <c r="E197" s="100"/>
      <c r="F197" s="100"/>
      <c r="G197" s="100"/>
      <c r="H197" s="100"/>
      <c r="I197" s="100"/>
      <c r="J197" s="55">
        <f>SUM(J196)</f>
        <v>580.15</v>
      </c>
    </row>
    <row r="198" spans="1:10" ht="16.5" customHeight="1" x14ac:dyDescent="0.25">
      <c r="A198" s="143" t="s">
        <v>293</v>
      </c>
      <c r="B198" s="144"/>
      <c r="C198" s="144"/>
      <c r="D198" s="144"/>
      <c r="E198" s="144"/>
      <c r="F198" s="144"/>
      <c r="G198" s="144"/>
      <c r="H198" s="144"/>
      <c r="I198" s="144"/>
      <c r="J198" s="145"/>
    </row>
    <row r="199" spans="1:10" ht="16.5" customHeight="1" x14ac:dyDescent="0.25">
      <c r="A199" s="17" t="str">
        <f>'Plan. Orçamentária'!A50</f>
        <v>6.9</v>
      </c>
      <c r="B199" s="133" t="str">
        <f>'Plan. Orçamentária'!E50</f>
        <v>Sinalização horizontal, pintura de faixa de pedestre ou zebrado de preenchimento com tinta acrílica, aplicação manual</v>
      </c>
      <c r="C199" s="133"/>
      <c r="D199" s="133"/>
      <c r="E199" s="133"/>
      <c r="F199" s="133"/>
      <c r="G199" s="133"/>
      <c r="H199" s="133"/>
      <c r="I199" s="133"/>
      <c r="J199" s="133"/>
    </row>
    <row r="200" spans="1:10" ht="16.5" customHeight="1" x14ac:dyDescent="0.25">
      <c r="A200" s="126" t="s">
        <v>12</v>
      </c>
      <c r="B200" s="126"/>
      <c r="C200" s="126"/>
      <c r="D200" s="61" t="s">
        <v>13</v>
      </c>
      <c r="E200" s="61" t="s">
        <v>14</v>
      </c>
      <c r="F200" s="61" t="s">
        <v>15</v>
      </c>
      <c r="G200" s="61" t="s">
        <v>16</v>
      </c>
      <c r="H200" s="61" t="s">
        <v>18</v>
      </c>
      <c r="I200" s="61" t="s">
        <v>28</v>
      </c>
      <c r="J200" s="61" t="s">
        <v>19</v>
      </c>
    </row>
    <row r="201" spans="1:10" ht="16.5" customHeight="1" x14ac:dyDescent="0.25">
      <c r="A201" s="135" t="s">
        <v>188</v>
      </c>
      <c r="B201" s="136"/>
      <c r="C201" s="137"/>
      <c r="D201" s="5"/>
      <c r="E201" s="5"/>
      <c r="F201" s="5"/>
      <c r="G201" s="5"/>
      <c r="H201" s="5">
        <v>10.61</v>
      </c>
      <c r="I201" s="5"/>
      <c r="J201" s="5">
        <f t="shared" ref="J201:J210" si="13">PRODUCT(D201:H201)-I201</f>
        <v>10.61</v>
      </c>
    </row>
    <row r="202" spans="1:10" ht="16.5" customHeight="1" x14ac:dyDescent="0.25">
      <c r="A202" s="146"/>
      <c r="B202" s="147"/>
      <c r="C202" s="148"/>
      <c r="D202" s="5"/>
      <c r="E202" s="5"/>
      <c r="F202" s="5"/>
      <c r="G202" s="5"/>
      <c r="H202" s="5">
        <v>8.4</v>
      </c>
      <c r="I202" s="5"/>
      <c r="J202" s="5">
        <f t="shared" si="13"/>
        <v>8.4</v>
      </c>
    </row>
    <row r="203" spans="1:10" ht="16.5" customHeight="1" x14ac:dyDescent="0.25">
      <c r="A203" s="146"/>
      <c r="B203" s="147"/>
      <c r="C203" s="148"/>
      <c r="D203" s="5"/>
      <c r="E203" s="5"/>
      <c r="F203" s="5"/>
      <c r="G203" s="5"/>
      <c r="H203" s="5">
        <v>8.4</v>
      </c>
      <c r="I203" s="5"/>
      <c r="J203" s="5">
        <f t="shared" si="13"/>
        <v>8.4</v>
      </c>
    </row>
    <row r="204" spans="1:10" ht="16.5" customHeight="1" x14ac:dyDescent="0.25">
      <c r="A204" s="138"/>
      <c r="B204" s="139"/>
      <c r="C204" s="140"/>
      <c r="D204" s="5"/>
      <c r="E204" s="5"/>
      <c r="F204" s="5"/>
      <c r="G204" s="5"/>
      <c r="H204" s="5">
        <v>8.4</v>
      </c>
      <c r="I204" s="5"/>
      <c r="J204" s="5">
        <f t="shared" si="13"/>
        <v>8.4</v>
      </c>
    </row>
    <row r="205" spans="1:10" ht="16.5" customHeight="1" x14ac:dyDescent="0.25">
      <c r="A205" s="135" t="s">
        <v>188</v>
      </c>
      <c r="B205" s="136"/>
      <c r="C205" s="137"/>
      <c r="D205" s="5"/>
      <c r="E205" s="5"/>
      <c r="F205" s="5"/>
      <c r="G205" s="5"/>
      <c r="H205" s="5">
        <v>1.75</v>
      </c>
      <c r="I205" s="5"/>
      <c r="J205" s="5">
        <f t="shared" si="13"/>
        <v>1.75</v>
      </c>
    </row>
    <row r="206" spans="1:10" ht="16.5" customHeight="1" x14ac:dyDescent="0.25">
      <c r="A206" s="146"/>
      <c r="B206" s="147"/>
      <c r="C206" s="148"/>
      <c r="D206" s="5"/>
      <c r="E206" s="5"/>
      <c r="F206" s="5"/>
      <c r="G206" s="5"/>
      <c r="H206" s="5">
        <v>1.42</v>
      </c>
      <c r="I206" s="5"/>
      <c r="J206" s="5">
        <f t="shared" si="13"/>
        <v>1.42</v>
      </c>
    </row>
    <row r="207" spans="1:10" ht="16.5" customHeight="1" x14ac:dyDescent="0.25">
      <c r="A207" s="146"/>
      <c r="B207" s="147"/>
      <c r="C207" s="148"/>
      <c r="D207" s="5"/>
      <c r="E207" s="5"/>
      <c r="F207" s="5"/>
      <c r="G207" s="5"/>
      <c r="H207" s="5">
        <v>1.41</v>
      </c>
      <c r="I207" s="5"/>
      <c r="J207" s="5">
        <f t="shared" si="13"/>
        <v>1.41</v>
      </c>
    </row>
    <row r="208" spans="1:10" ht="16.5" customHeight="1" x14ac:dyDescent="0.25">
      <c r="A208" s="138"/>
      <c r="B208" s="139"/>
      <c r="C208" s="140"/>
      <c r="D208" s="5"/>
      <c r="E208" s="5"/>
      <c r="F208" s="5"/>
      <c r="G208" s="5"/>
      <c r="H208" s="5">
        <v>1.45</v>
      </c>
      <c r="I208" s="5"/>
      <c r="J208" s="5">
        <f t="shared" si="13"/>
        <v>1.45</v>
      </c>
    </row>
    <row r="209" spans="1:10" ht="16.5" customHeight="1" x14ac:dyDescent="0.25">
      <c r="A209" s="135" t="s">
        <v>189</v>
      </c>
      <c r="B209" s="136"/>
      <c r="C209" s="137"/>
      <c r="D209" s="5"/>
      <c r="E209" s="5"/>
      <c r="F209" s="5"/>
      <c r="G209" s="5"/>
      <c r="H209" s="5">
        <v>8.0399999999999991</v>
      </c>
      <c r="I209" s="5"/>
      <c r="J209" s="5">
        <f t="shared" si="13"/>
        <v>8.0399999999999991</v>
      </c>
    </row>
    <row r="210" spans="1:10" ht="16.5" customHeight="1" x14ac:dyDescent="0.25">
      <c r="A210" s="138"/>
      <c r="B210" s="139"/>
      <c r="C210" s="140"/>
      <c r="D210" s="5"/>
      <c r="E210" s="5"/>
      <c r="F210" s="5"/>
      <c r="G210" s="5"/>
      <c r="H210" s="5">
        <v>7.67</v>
      </c>
      <c r="I210" s="5"/>
      <c r="J210" s="5">
        <f t="shared" si="13"/>
        <v>7.67</v>
      </c>
    </row>
    <row r="211" spans="1:10" ht="16.5" customHeight="1" x14ac:dyDescent="0.25">
      <c r="A211" s="100" t="str">
        <f>"TOTAL - "&amp;'Plan. Orçamentária'!G50</f>
        <v>TOTAL - M2</v>
      </c>
      <c r="B211" s="100"/>
      <c r="C211" s="100"/>
      <c r="D211" s="100"/>
      <c r="E211" s="100"/>
      <c r="F211" s="100"/>
      <c r="G211" s="100"/>
      <c r="H211" s="100"/>
      <c r="I211" s="100"/>
      <c r="J211" s="55">
        <f>SUM(J201:J210)</f>
        <v>57.55</v>
      </c>
    </row>
    <row r="212" spans="1:10" ht="16.5" customHeight="1" x14ac:dyDescent="0.25">
      <c r="A212" s="143" t="s">
        <v>294</v>
      </c>
      <c r="B212" s="144"/>
      <c r="C212" s="144"/>
      <c r="D212" s="144"/>
      <c r="E212" s="144"/>
      <c r="F212" s="144"/>
      <c r="G212" s="144"/>
      <c r="H212" s="144"/>
      <c r="I212" s="144"/>
      <c r="J212" s="145"/>
    </row>
    <row r="213" spans="1:10" s="1" customFormat="1" ht="16.5" customHeight="1" x14ac:dyDescent="0.2">
      <c r="A213" s="64">
        <f>'Plan. Orçamentária'!A14</f>
        <v>2</v>
      </c>
      <c r="B213" s="172" t="str">
        <f>'Plan. Orçamentária'!E14</f>
        <v>CANTEIRO DE OBRAS</v>
      </c>
      <c r="C213" s="172"/>
      <c r="D213" s="172"/>
      <c r="E213" s="172"/>
      <c r="F213" s="172"/>
      <c r="G213" s="172"/>
      <c r="H213" s="172"/>
      <c r="I213" s="172"/>
      <c r="J213" s="172"/>
    </row>
    <row r="214" spans="1:10" s="1" customFormat="1" ht="25.5" customHeight="1" x14ac:dyDescent="0.2">
      <c r="A214" s="17" t="str">
        <f>'Plan. Orçamentária'!A15</f>
        <v>2.1</v>
      </c>
      <c r="B214" s="177" t="str">
        <f>'Plan. Orçamentária'!E15</f>
        <v>Fornecimento e colocação de placa de obra em chapa galvanizada (3,00 x 1,50m) - em chapa galvanizada 0,26 afixadas com rebites 540 e parafusos 3/8, em estrutura metálica viga u 2" enrijecida com metalon 20 x 20, suporte em eucalipto autoclavado pintadas</v>
      </c>
      <c r="C214" s="177"/>
      <c r="D214" s="177"/>
      <c r="E214" s="177"/>
      <c r="F214" s="177"/>
      <c r="G214" s="177"/>
      <c r="H214" s="177"/>
      <c r="I214" s="177"/>
      <c r="J214" s="177"/>
    </row>
    <row r="215" spans="1:10" s="1" customFormat="1" ht="16.5" customHeight="1" x14ac:dyDescent="0.2">
      <c r="A215" s="125" t="s">
        <v>12</v>
      </c>
      <c r="B215" s="125"/>
      <c r="C215" s="125"/>
      <c r="D215" s="62" t="s">
        <v>13</v>
      </c>
      <c r="E215" s="62" t="s">
        <v>14</v>
      </c>
      <c r="F215" s="62" t="s">
        <v>15</v>
      </c>
      <c r="G215" s="62" t="s">
        <v>16</v>
      </c>
      <c r="H215" s="62" t="s">
        <v>17</v>
      </c>
      <c r="I215" s="62" t="s">
        <v>18</v>
      </c>
      <c r="J215" s="62" t="s">
        <v>19</v>
      </c>
    </row>
    <row r="216" spans="1:10" s="1" customFormat="1" ht="16.5" customHeight="1" x14ac:dyDescent="0.2">
      <c r="A216" s="141" t="s">
        <v>80</v>
      </c>
      <c r="B216" s="141"/>
      <c r="C216" s="141"/>
      <c r="D216" s="5"/>
      <c r="E216" s="5"/>
      <c r="F216" s="5"/>
      <c r="G216" s="5">
        <v>1</v>
      </c>
      <c r="H216" s="5"/>
      <c r="I216" s="5"/>
      <c r="J216" s="5">
        <f>((PRODUCT(D216:H216))-I216)</f>
        <v>1</v>
      </c>
    </row>
    <row r="217" spans="1:10" ht="16.5" customHeight="1" x14ac:dyDescent="0.25">
      <c r="A217" s="100" t="str">
        <f>"TOTAL - "&amp;'Plan. Orçamentária'!G15</f>
        <v>TOTAL - UN</v>
      </c>
      <c r="B217" s="100"/>
      <c r="C217" s="100"/>
      <c r="D217" s="100"/>
      <c r="E217" s="100"/>
      <c r="F217" s="100"/>
      <c r="G217" s="100"/>
      <c r="H217" s="100"/>
      <c r="I217" s="100"/>
      <c r="J217" s="55">
        <f>SUM(J216)</f>
        <v>1</v>
      </c>
    </row>
    <row r="218" spans="1:10" s="1" customFormat="1" ht="16.5" customHeight="1" x14ac:dyDescent="0.2">
      <c r="A218" s="17" t="str">
        <f>'Plan. Orçamentária'!A16</f>
        <v>2.2</v>
      </c>
      <c r="B218" s="177" t="str">
        <f>'Plan. Orçamentária'!E16</f>
        <v>Locação de banheiro químico, dimensão (110x120x230)cm, linha padrão, contendo uma (1) pia/higienizador de mãos, inclusive manutenção e mobilização/desmobilização</v>
      </c>
      <c r="C218" s="177"/>
      <c r="D218" s="177"/>
      <c r="E218" s="177"/>
      <c r="F218" s="177"/>
      <c r="G218" s="177"/>
      <c r="H218" s="177"/>
      <c r="I218" s="177"/>
      <c r="J218" s="177"/>
    </row>
    <row r="219" spans="1:10" s="1" customFormat="1" ht="16.5" customHeight="1" x14ac:dyDescent="0.2">
      <c r="A219" s="125" t="s">
        <v>12</v>
      </c>
      <c r="B219" s="125"/>
      <c r="C219" s="125"/>
      <c r="D219" s="62" t="s">
        <v>13</v>
      </c>
      <c r="E219" s="62" t="s">
        <v>14</v>
      </c>
      <c r="F219" s="62" t="s">
        <v>15</v>
      </c>
      <c r="G219" s="62" t="s">
        <v>16</v>
      </c>
      <c r="H219" s="62" t="s">
        <v>17</v>
      </c>
      <c r="I219" s="62" t="s">
        <v>18</v>
      </c>
      <c r="J219" s="62" t="s">
        <v>19</v>
      </c>
    </row>
    <row r="220" spans="1:10" s="1" customFormat="1" ht="16.5" customHeight="1" x14ac:dyDescent="0.2">
      <c r="A220" s="141" t="s">
        <v>93</v>
      </c>
      <c r="B220" s="141"/>
      <c r="C220" s="141"/>
      <c r="D220" s="5"/>
      <c r="E220" s="5"/>
      <c r="F220" s="5"/>
      <c r="G220" s="5">
        <v>3</v>
      </c>
      <c r="H220" s="5"/>
      <c r="I220" s="5"/>
      <c r="J220" s="5">
        <f>((PRODUCT(D220:H220))-I220)</f>
        <v>3</v>
      </c>
    </row>
    <row r="221" spans="1:10" ht="16.5" customHeight="1" x14ac:dyDescent="0.25">
      <c r="A221" s="100" t="str">
        <f>"TOTAL - "&amp;'Plan. Orçamentária'!G16</f>
        <v>TOTAL - MÊS</v>
      </c>
      <c r="B221" s="100"/>
      <c r="C221" s="100"/>
      <c r="D221" s="100"/>
      <c r="E221" s="100"/>
      <c r="F221" s="100"/>
      <c r="G221" s="100"/>
      <c r="H221" s="100"/>
      <c r="I221" s="100"/>
      <c r="J221" s="55">
        <f>SUM(J220)</f>
        <v>3</v>
      </c>
    </row>
    <row r="222" spans="1:10" s="1" customFormat="1" ht="25.5" customHeight="1" x14ac:dyDescent="0.2">
      <c r="A222" s="17" t="str">
        <f>'Plan. Orçamentária'!A17</f>
        <v>2.3</v>
      </c>
      <c r="B222" s="133" t="str">
        <f>'Plan. Orçamentária'!E17</f>
        <v>Locação de container com isolamento térmico, tipo 1, para escritório de obra/almoxarifado, com medidas referenciais de (6) metros de comprimentos, (2,3) metros de largura, (2,5) metros de altura útil interna, inclusive ar condicionado e ligações elétricas internas</v>
      </c>
      <c r="C222" s="133"/>
      <c r="D222" s="133"/>
      <c r="E222" s="133"/>
      <c r="F222" s="133"/>
      <c r="G222" s="133"/>
      <c r="H222" s="133"/>
      <c r="I222" s="133"/>
      <c r="J222" s="133"/>
    </row>
    <row r="223" spans="1:10" s="1" customFormat="1" ht="16.5" customHeight="1" x14ac:dyDescent="0.2">
      <c r="A223" s="125" t="s">
        <v>12</v>
      </c>
      <c r="B223" s="125"/>
      <c r="C223" s="125"/>
      <c r="D223" s="62" t="s">
        <v>13</v>
      </c>
      <c r="E223" s="62" t="s">
        <v>14</v>
      </c>
      <c r="F223" s="62" t="s">
        <v>15</v>
      </c>
      <c r="G223" s="62" t="s">
        <v>16</v>
      </c>
      <c r="H223" s="62" t="s">
        <v>17</v>
      </c>
      <c r="I223" s="62" t="s">
        <v>18</v>
      </c>
      <c r="J223" s="62" t="s">
        <v>19</v>
      </c>
    </row>
    <row r="224" spans="1:10" s="1" customFormat="1" ht="16.5" customHeight="1" x14ac:dyDescent="0.2">
      <c r="A224" s="141" t="s">
        <v>94</v>
      </c>
      <c r="B224" s="141"/>
      <c r="C224" s="141"/>
      <c r="D224" s="5"/>
      <c r="E224" s="5"/>
      <c r="F224" s="5"/>
      <c r="G224" s="5">
        <v>3</v>
      </c>
      <c r="H224" s="5"/>
      <c r="I224" s="5"/>
      <c r="J224" s="5">
        <f>((PRODUCT(D224:H224))-I224)</f>
        <v>3</v>
      </c>
    </row>
    <row r="225" spans="1:10" ht="16.5" customHeight="1" x14ac:dyDescent="0.25">
      <c r="A225" s="100" t="str">
        <f>"TOTAL - "&amp;'Plan. Orçamentária'!G17</f>
        <v>TOTAL - MÊS</v>
      </c>
      <c r="B225" s="100"/>
      <c r="C225" s="100"/>
      <c r="D225" s="100"/>
      <c r="E225" s="100"/>
      <c r="F225" s="100"/>
      <c r="G225" s="100"/>
      <c r="H225" s="100"/>
      <c r="I225" s="100"/>
      <c r="J225" s="55">
        <f>SUM(J224)</f>
        <v>3</v>
      </c>
    </row>
    <row r="226" spans="1:10" s="1" customFormat="1" ht="16.5" customHeight="1" x14ac:dyDescent="0.2">
      <c r="A226" s="17" t="str">
        <f>'Plan. Orçamentária'!A18</f>
        <v>2.4</v>
      </c>
      <c r="B226" s="133" t="str">
        <f>'Plan. Orçamentária'!E18</f>
        <v>Ligações provisórias para container tipo 1 (correspondente ao código ED-16348)</v>
      </c>
      <c r="C226" s="133"/>
      <c r="D226" s="133"/>
      <c r="E226" s="133"/>
      <c r="F226" s="133"/>
      <c r="G226" s="133"/>
      <c r="H226" s="133"/>
      <c r="I226" s="133"/>
      <c r="J226" s="133"/>
    </row>
    <row r="227" spans="1:10" s="1" customFormat="1" ht="16.5" customHeight="1" x14ac:dyDescent="0.2">
      <c r="A227" s="125" t="s">
        <v>12</v>
      </c>
      <c r="B227" s="125"/>
      <c r="C227" s="125"/>
      <c r="D227" s="62" t="s">
        <v>13</v>
      </c>
      <c r="E227" s="62" t="s">
        <v>14</v>
      </c>
      <c r="F227" s="62" t="s">
        <v>15</v>
      </c>
      <c r="G227" s="62" t="s">
        <v>16</v>
      </c>
      <c r="H227" s="62" t="s">
        <v>17</v>
      </c>
      <c r="I227" s="62" t="s">
        <v>18</v>
      </c>
      <c r="J227" s="62" t="s">
        <v>19</v>
      </c>
    </row>
    <row r="228" spans="1:10" s="1" customFormat="1" ht="25.5" customHeight="1" x14ac:dyDescent="0.2">
      <c r="A228" s="141" t="s">
        <v>95</v>
      </c>
      <c r="B228" s="141"/>
      <c r="C228" s="141"/>
      <c r="D228" s="5"/>
      <c r="E228" s="5"/>
      <c r="F228" s="5"/>
      <c r="G228" s="5">
        <v>1</v>
      </c>
      <c r="H228" s="5"/>
      <c r="I228" s="5"/>
      <c r="J228" s="5">
        <f>((PRODUCT(D228:H228))-I228)</f>
        <v>1</v>
      </c>
    </row>
    <row r="229" spans="1:10" ht="16.5" customHeight="1" x14ac:dyDescent="0.25">
      <c r="A229" s="100" t="str">
        <f>"TOTAL - "&amp;'Plan. Orçamentária'!G18</f>
        <v>TOTAL - UN</v>
      </c>
      <c r="B229" s="100"/>
      <c r="C229" s="100"/>
      <c r="D229" s="100"/>
      <c r="E229" s="100"/>
      <c r="F229" s="100"/>
      <c r="G229" s="100"/>
      <c r="H229" s="100"/>
      <c r="I229" s="100"/>
      <c r="J229" s="55">
        <f>SUM(J228)</f>
        <v>1</v>
      </c>
    </row>
    <row r="230" spans="1:10" s="1" customFormat="1" ht="16.5" customHeight="1" x14ac:dyDescent="0.2">
      <c r="A230" s="17" t="str">
        <f>'Plan. Orçamentária'!A19</f>
        <v>2.5</v>
      </c>
      <c r="B230" s="133" t="str">
        <f>'Plan. Orçamentária'!E19</f>
        <v>Mobilização e desmobilização de container, inclusive instalação e transporte com caminhão guindauto (munck)</v>
      </c>
      <c r="C230" s="133"/>
      <c r="D230" s="133"/>
      <c r="E230" s="133"/>
      <c r="F230" s="133"/>
      <c r="G230" s="133"/>
      <c r="H230" s="133"/>
      <c r="I230" s="133"/>
      <c r="J230" s="133"/>
    </row>
    <row r="231" spans="1:10" s="1" customFormat="1" ht="16.5" customHeight="1" x14ac:dyDescent="0.2">
      <c r="A231" s="125" t="s">
        <v>12</v>
      </c>
      <c r="B231" s="125"/>
      <c r="C231" s="125"/>
      <c r="D231" s="62" t="s">
        <v>13</v>
      </c>
      <c r="E231" s="62" t="s">
        <v>14</v>
      </c>
      <c r="F231" s="62" t="s">
        <v>15</v>
      </c>
      <c r="G231" s="62" t="s">
        <v>16</v>
      </c>
      <c r="H231" s="62" t="s">
        <v>17</v>
      </c>
      <c r="I231" s="62" t="s">
        <v>18</v>
      </c>
      <c r="J231" s="62" t="s">
        <v>19</v>
      </c>
    </row>
    <row r="232" spans="1:10" s="1" customFormat="1" ht="16.5" customHeight="1" x14ac:dyDescent="0.2">
      <c r="A232" s="141" t="s">
        <v>96</v>
      </c>
      <c r="B232" s="141"/>
      <c r="C232" s="141"/>
      <c r="D232" s="5"/>
      <c r="E232" s="5"/>
      <c r="F232" s="5"/>
      <c r="G232" s="5">
        <v>0.7</v>
      </c>
      <c r="H232" s="5"/>
      <c r="I232" s="5"/>
      <c r="J232" s="5">
        <f>PRODUCT(D232:I232)</f>
        <v>0.7</v>
      </c>
    </row>
    <row r="233" spans="1:10" s="1" customFormat="1" ht="16.5" customHeight="1" x14ac:dyDescent="0.2">
      <c r="A233" s="141" t="s">
        <v>97</v>
      </c>
      <c r="B233" s="141"/>
      <c r="C233" s="141"/>
      <c r="D233" s="5"/>
      <c r="E233" s="5"/>
      <c r="F233" s="5"/>
      <c r="G233" s="5">
        <v>0.3</v>
      </c>
      <c r="H233" s="5"/>
      <c r="I233" s="5"/>
      <c r="J233" s="5">
        <f>PRODUCT(D233:I233)</f>
        <v>0.3</v>
      </c>
    </row>
    <row r="234" spans="1:10" ht="16.5" customHeight="1" x14ac:dyDescent="0.25">
      <c r="A234" s="100" t="str">
        <f>"TOTAL - "&amp;'Plan. Orçamentária'!G19</f>
        <v>TOTAL - UN</v>
      </c>
      <c r="B234" s="100"/>
      <c r="C234" s="100"/>
      <c r="D234" s="100"/>
      <c r="E234" s="100"/>
      <c r="F234" s="100"/>
      <c r="G234" s="100"/>
      <c r="H234" s="100"/>
      <c r="I234" s="100"/>
      <c r="J234" s="55">
        <f>SUM(J232:J233)</f>
        <v>1</v>
      </c>
    </row>
    <row r="235" spans="1:10" ht="16.5" customHeight="1" x14ac:dyDescent="0.25">
      <c r="A235" s="143" t="s">
        <v>295</v>
      </c>
      <c r="B235" s="144"/>
      <c r="C235" s="144"/>
      <c r="D235" s="144"/>
      <c r="E235" s="144"/>
      <c r="F235" s="144"/>
      <c r="G235" s="144"/>
      <c r="H235" s="144"/>
      <c r="I235" s="144"/>
      <c r="J235" s="145"/>
    </row>
    <row r="236" spans="1:10" ht="16.5" customHeight="1" x14ac:dyDescent="0.25">
      <c r="A236" s="64">
        <f>'Plan. Orçamentária'!A41</f>
        <v>6</v>
      </c>
      <c r="B236" s="142" t="str">
        <f>'Plan. Orçamentária'!E41</f>
        <v>PAVIMENTAÇÃO</v>
      </c>
      <c r="C236" s="142"/>
      <c r="D236" s="142"/>
      <c r="E236" s="142"/>
      <c r="F236" s="142"/>
      <c r="G236" s="142"/>
      <c r="H236" s="142"/>
      <c r="I236" s="142"/>
      <c r="J236" s="142"/>
    </row>
    <row r="237" spans="1:10" ht="25.5" customHeight="1" x14ac:dyDescent="0.25">
      <c r="A237" s="17" t="str">
        <f>'Plan. Orçamentária'!A45</f>
        <v>6.4</v>
      </c>
      <c r="B237" s="133" t="str">
        <f>'Plan. Orçamentária'!E45</f>
        <v>Regularização e compactação de subleito de solo predominantemente argiloso</v>
      </c>
      <c r="C237" s="133"/>
      <c r="D237" s="133"/>
      <c r="E237" s="133"/>
      <c r="F237" s="133"/>
      <c r="G237" s="133"/>
      <c r="H237" s="133"/>
      <c r="I237" s="133"/>
      <c r="J237" s="133"/>
    </row>
    <row r="238" spans="1:10" s="18" customFormat="1" ht="16.5" customHeight="1" x14ac:dyDescent="0.25">
      <c r="A238" s="126" t="s">
        <v>12</v>
      </c>
      <c r="B238" s="126"/>
      <c r="C238" s="126"/>
      <c r="D238" s="61" t="s">
        <v>13</v>
      </c>
      <c r="E238" s="61" t="s">
        <v>14</v>
      </c>
      <c r="F238" s="61" t="s">
        <v>15</v>
      </c>
      <c r="G238" s="61" t="s">
        <v>16</v>
      </c>
      <c r="H238" s="61" t="s">
        <v>18</v>
      </c>
      <c r="I238" s="61" t="s">
        <v>28</v>
      </c>
      <c r="J238" s="61" t="s">
        <v>19</v>
      </c>
    </row>
    <row r="239" spans="1:10" ht="16.5" customHeight="1" x14ac:dyDescent="0.25">
      <c r="A239" s="121" t="s">
        <v>148</v>
      </c>
      <c r="B239" s="121"/>
      <c r="C239" s="121"/>
      <c r="D239" s="5"/>
      <c r="E239" s="5"/>
      <c r="F239" s="5"/>
      <c r="G239" s="5">
        <v>2017.4</v>
      </c>
      <c r="H239" s="5"/>
      <c r="I239" s="5"/>
      <c r="J239" s="5">
        <f>PRODUCT(D239:H239)-I239</f>
        <v>2017.4</v>
      </c>
    </row>
    <row r="240" spans="1:10" ht="16.5" customHeight="1" x14ac:dyDescent="0.25">
      <c r="A240" s="100" t="str">
        <f>"TOTAL - "&amp;'Plan. Orçamentária'!G45</f>
        <v>TOTAL - M2</v>
      </c>
      <c r="B240" s="100"/>
      <c r="C240" s="100"/>
      <c r="D240" s="100"/>
      <c r="E240" s="100"/>
      <c r="F240" s="100"/>
      <c r="G240" s="100"/>
      <c r="H240" s="100"/>
      <c r="I240" s="100"/>
      <c r="J240" s="55">
        <f>SUM(J239:J239)</f>
        <v>2017.4</v>
      </c>
    </row>
    <row r="241" spans="1:10" ht="16.5" customHeight="1" x14ac:dyDescent="0.25">
      <c r="A241" s="17" t="str">
        <f>'Plan. Orçamentária'!A46</f>
        <v>6.5</v>
      </c>
      <c r="B241" s="133" t="str">
        <f>'Plan. Orçamentária'!E46</f>
        <v>Remoção de meio-fio pré-moldado de concreto, inclusive carga</v>
      </c>
      <c r="C241" s="133"/>
      <c r="D241" s="133"/>
      <c r="E241" s="133"/>
      <c r="F241" s="133"/>
      <c r="G241" s="133"/>
      <c r="H241" s="133"/>
      <c r="I241" s="133"/>
      <c r="J241" s="133"/>
    </row>
    <row r="242" spans="1:10" ht="16.5" customHeight="1" x14ac:dyDescent="0.25">
      <c r="A242" s="126" t="s">
        <v>12</v>
      </c>
      <c r="B242" s="126"/>
      <c r="C242" s="126"/>
      <c r="D242" s="61" t="s">
        <v>13</v>
      </c>
      <c r="E242" s="61" t="s">
        <v>14</v>
      </c>
      <c r="F242" s="61" t="s">
        <v>15</v>
      </c>
      <c r="G242" s="61" t="s">
        <v>16</v>
      </c>
      <c r="H242" s="61" t="s">
        <v>18</v>
      </c>
      <c r="I242" s="61" t="s">
        <v>28</v>
      </c>
      <c r="J242" s="61" t="s">
        <v>19</v>
      </c>
    </row>
    <row r="243" spans="1:10" ht="16.5" customHeight="1" x14ac:dyDescent="0.25">
      <c r="A243" s="121" t="s">
        <v>151</v>
      </c>
      <c r="B243" s="121"/>
      <c r="C243" s="121"/>
      <c r="D243" s="5">
        <v>12</v>
      </c>
      <c r="E243" s="5"/>
      <c r="F243" s="5"/>
      <c r="G243" s="5"/>
      <c r="H243" s="5"/>
      <c r="I243" s="5"/>
      <c r="J243" s="5">
        <f>PRODUCT(D243:H243)-I243</f>
        <v>12</v>
      </c>
    </row>
    <row r="244" spans="1:10" ht="16.5" customHeight="1" x14ac:dyDescent="0.25">
      <c r="A244" s="100" t="str">
        <f>"TOTAL - "&amp;'Plan. Orçamentária'!G46</f>
        <v>TOTAL - M</v>
      </c>
      <c r="B244" s="100"/>
      <c r="C244" s="100"/>
      <c r="D244" s="100"/>
      <c r="E244" s="100"/>
      <c r="F244" s="100"/>
      <c r="G244" s="100"/>
      <c r="H244" s="100"/>
      <c r="I244" s="100"/>
      <c r="J244" s="55">
        <f>SUM(J243:J243)</f>
        <v>12</v>
      </c>
    </row>
    <row r="245" spans="1:10" ht="27.75" customHeight="1" x14ac:dyDescent="0.25">
      <c r="A245" s="17" t="str">
        <f>'Plan. Orçamentária'!A48</f>
        <v>6.7</v>
      </c>
      <c r="B245" s="133" t="str">
        <f>'Plan. Orçamentária'!E48</f>
        <v>Pavimentação de via em piso de concreto pré-moldado intertravado sobre camada de assentamento em pó de pedra, espessura de 6 cm, incluindo fornecimento e transporte de todos os materiais</v>
      </c>
      <c r="C245" s="133"/>
      <c r="D245" s="133"/>
      <c r="E245" s="133"/>
      <c r="F245" s="133"/>
      <c r="G245" s="133"/>
      <c r="H245" s="133"/>
      <c r="I245" s="133"/>
      <c r="J245" s="133"/>
    </row>
    <row r="246" spans="1:10" ht="16.5" customHeight="1" x14ac:dyDescent="0.25">
      <c r="A246" s="126" t="s">
        <v>12</v>
      </c>
      <c r="B246" s="126"/>
      <c r="C246" s="126"/>
      <c r="D246" s="61" t="s">
        <v>13</v>
      </c>
      <c r="E246" s="61" t="s">
        <v>14</v>
      </c>
      <c r="F246" s="61" t="s">
        <v>15</v>
      </c>
      <c r="G246" s="61" t="s">
        <v>16</v>
      </c>
      <c r="H246" s="61" t="s">
        <v>18</v>
      </c>
      <c r="I246" s="61" t="s">
        <v>28</v>
      </c>
      <c r="J246" s="61" t="s">
        <v>19</v>
      </c>
    </row>
    <row r="247" spans="1:10" ht="16.5" customHeight="1" x14ac:dyDescent="0.25">
      <c r="A247" s="121" t="s">
        <v>53</v>
      </c>
      <c r="B247" s="121"/>
      <c r="C247" s="121"/>
      <c r="D247" s="5"/>
      <c r="E247" s="5"/>
      <c r="F247" s="5"/>
      <c r="G247" s="5"/>
      <c r="H247" s="5">
        <f>J171</f>
        <v>2017.4</v>
      </c>
      <c r="I247" s="5"/>
      <c r="J247" s="5">
        <f>PRODUCT(D247:H247)-I247</f>
        <v>2017.4</v>
      </c>
    </row>
    <row r="248" spans="1:10" ht="16.5" customHeight="1" x14ac:dyDescent="0.25">
      <c r="A248" s="100" t="str">
        <f>"TOTAL - "&amp;'Plan. Orçamentária'!G48</f>
        <v>TOTAL - M2</v>
      </c>
      <c r="B248" s="100"/>
      <c r="C248" s="100"/>
      <c r="D248" s="100"/>
      <c r="E248" s="100"/>
      <c r="F248" s="100"/>
      <c r="G248" s="100"/>
      <c r="H248" s="100"/>
      <c r="I248" s="100"/>
      <c r="J248" s="55">
        <f>SUM(J247)</f>
        <v>2017.4</v>
      </c>
    </row>
  </sheetData>
  <mergeCells count="247">
    <mergeCell ref="A235:J235"/>
    <mergeCell ref="A37:I37"/>
    <mergeCell ref="A26:J26"/>
    <mergeCell ref="A30:J30"/>
    <mergeCell ref="A34:J34"/>
    <mergeCell ref="A38:J38"/>
    <mergeCell ref="A33:I33"/>
    <mergeCell ref="B20:J20"/>
    <mergeCell ref="A10:C12"/>
    <mergeCell ref="D10:E12"/>
    <mergeCell ref="F10:G12"/>
    <mergeCell ref="H10:J12"/>
    <mergeCell ref="A13:C13"/>
    <mergeCell ref="D13:E13"/>
    <mergeCell ref="F13:G13"/>
    <mergeCell ref="H13:J13"/>
    <mergeCell ref="A14:J14"/>
    <mergeCell ref="A24:J24"/>
    <mergeCell ref="A23:I23"/>
    <mergeCell ref="A21:C21"/>
    <mergeCell ref="A22:C22"/>
    <mergeCell ref="B218:J218"/>
    <mergeCell ref="A219:C219"/>
    <mergeCell ref="A220:C220"/>
    <mergeCell ref="A178:C178"/>
    <mergeCell ref="A179:I179"/>
    <mergeCell ref="A216:C216"/>
    <mergeCell ref="A217:I217"/>
    <mergeCell ref="B213:J213"/>
    <mergeCell ref="B214:J214"/>
    <mergeCell ref="A215:C215"/>
    <mergeCell ref="A211:I211"/>
    <mergeCell ref="A192:I192"/>
    <mergeCell ref="A183:C183"/>
    <mergeCell ref="A184:C184"/>
    <mergeCell ref="A185:C185"/>
    <mergeCell ref="A186:C186"/>
    <mergeCell ref="A189:C189"/>
    <mergeCell ref="A190:C190"/>
    <mergeCell ref="A205:C208"/>
    <mergeCell ref="A209:C210"/>
    <mergeCell ref="A163:C163"/>
    <mergeCell ref="B9:J9"/>
    <mergeCell ref="B15:J15"/>
    <mergeCell ref="A18:I18"/>
    <mergeCell ref="A16:C16"/>
    <mergeCell ref="A17:C17"/>
    <mergeCell ref="A19:J19"/>
    <mergeCell ref="A132:C132"/>
    <mergeCell ref="A39:C39"/>
    <mergeCell ref="A40:C40"/>
    <mergeCell ref="A41:I41"/>
    <mergeCell ref="A79:I79"/>
    <mergeCell ref="B80:J80"/>
    <mergeCell ref="A81:C81"/>
    <mergeCell ref="A101:C101"/>
    <mergeCell ref="A75:I75"/>
    <mergeCell ref="B76:J76"/>
    <mergeCell ref="A57:I57"/>
    <mergeCell ref="A54:C54"/>
    <mergeCell ref="A55:C55"/>
    <mergeCell ref="A56:C56"/>
    <mergeCell ref="A35:C35"/>
    <mergeCell ref="A36:C36"/>
    <mergeCell ref="A49:C50"/>
    <mergeCell ref="A1:J3"/>
    <mergeCell ref="A4:J4"/>
    <mergeCell ref="A5:J5"/>
    <mergeCell ref="A6:A7"/>
    <mergeCell ref="B6:G7"/>
    <mergeCell ref="H6:H7"/>
    <mergeCell ref="I6:I7"/>
    <mergeCell ref="J6:J7"/>
    <mergeCell ref="A8:J8"/>
    <mergeCell ref="A52:C53"/>
    <mergeCell ref="A44:C44"/>
    <mergeCell ref="A46:I46"/>
    <mergeCell ref="B43:J43"/>
    <mergeCell ref="A45:C45"/>
    <mergeCell ref="B47:J47"/>
    <mergeCell ref="A48:C48"/>
    <mergeCell ref="A51:C51"/>
    <mergeCell ref="A67:C67"/>
    <mergeCell ref="B241:J241"/>
    <mergeCell ref="A242:C242"/>
    <mergeCell ref="A153:I153"/>
    <mergeCell ref="B149:J149"/>
    <mergeCell ref="A150:C150"/>
    <mergeCell ref="A152:C152"/>
    <mergeCell ref="B144:J144"/>
    <mergeCell ref="A145:C145"/>
    <mergeCell ref="A146:C146"/>
    <mergeCell ref="A147:C147"/>
    <mergeCell ref="B226:J226"/>
    <mergeCell ref="A227:C227"/>
    <mergeCell ref="A228:C228"/>
    <mergeCell ref="A229:I229"/>
    <mergeCell ref="B230:J230"/>
    <mergeCell ref="A231:C231"/>
    <mergeCell ref="A232:C232"/>
    <mergeCell ref="A234:I234"/>
    <mergeCell ref="A233:C233"/>
    <mergeCell ref="A180:J180"/>
    <mergeCell ref="A193:J193"/>
    <mergeCell ref="A198:J198"/>
    <mergeCell ref="A212:J212"/>
    <mergeCell ref="A201:C204"/>
    <mergeCell ref="A120:C120"/>
    <mergeCell ref="B98:J98"/>
    <mergeCell ref="A77:C77"/>
    <mergeCell ref="A169:C169"/>
    <mergeCell ref="A170:C170"/>
    <mergeCell ref="B25:J25"/>
    <mergeCell ref="A27:C27"/>
    <mergeCell ref="A28:C28"/>
    <mergeCell ref="A29:I29"/>
    <mergeCell ref="A31:C31"/>
    <mergeCell ref="A32:C32"/>
    <mergeCell ref="A42:J42"/>
    <mergeCell ref="A58:J58"/>
    <mergeCell ref="A123:J123"/>
    <mergeCell ref="A167:J167"/>
    <mergeCell ref="A61:C61"/>
    <mergeCell ref="A143:I143"/>
    <mergeCell ref="A116:C116"/>
    <mergeCell ref="A117:C117"/>
    <mergeCell ref="A118:I118"/>
    <mergeCell ref="B124:J124"/>
    <mergeCell ref="A160:C160"/>
    <mergeCell ref="A96:C96"/>
    <mergeCell ref="A68:C68"/>
    <mergeCell ref="A243:C243"/>
    <mergeCell ref="A244:I244"/>
    <mergeCell ref="B181:J181"/>
    <mergeCell ref="A182:C182"/>
    <mergeCell ref="B237:J237"/>
    <mergeCell ref="B168:J168"/>
    <mergeCell ref="A174:C174"/>
    <mergeCell ref="A175:I175"/>
    <mergeCell ref="A239:C239"/>
    <mergeCell ref="A240:I240"/>
    <mergeCell ref="A191:C191"/>
    <mergeCell ref="A187:C188"/>
    <mergeCell ref="A171:I171"/>
    <mergeCell ref="B172:J172"/>
    <mergeCell ref="A173:C173"/>
    <mergeCell ref="A221:I221"/>
    <mergeCell ref="B222:J222"/>
    <mergeCell ref="A223:C223"/>
    <mergeCell ref="A224:C224"/>
    <mergeCell ref="A225:I225"/>
    <mergeCell ref="A238:C238"/>
    <mergeCell ref="B236:J236"/>
    <mergeCell ref="B176:J176"/>
    <mergeCell ref="A177:C177"/>
    <mergeCell ref="A247:C247"/>
    <mergeCell ref="A148:I148"/>
    <mergeCell ref="A151:C151"/>
    <mergeCell ref="B59:J59"/>
    <mergeCell ref="A60:C60"/>
    <mergeCell ref="B199:J199"/>
    <mergeCell ref="A200:C200"/>
    <mergeCell ref="A99:C99"/>
    <mergeCell ref="A62:C62"/>
    <mergeCell ref="A63:C63"/>
    <mergeCell ref="A64:C64"/>
    <mergeCell ref="A65:C65"/>
    <mergeCell ref="A66:C66"/>
    <mergeCell ref="A164:C164"/>
    <mergeCell ref="A165:C165"/>
    <mergeCell ref="A166:I166"/>
    <mergeCell ref="B154:J154"/>
    <mergeCell ref="A155:C155"/>
    <mergeCell ref="A161:I161"/>
    <mergeCell ref="B162:J162"/>
    <mergeCell ref="A156:C156"/>
    <mergeCell ref="A157:C157"/>
    <mergeCell ref="A158:C158"/>
    <mergeCell ref="A159:C159"/>
    <mergeCell ref="B245:J245"/>
    <mergeCell ref="A246:C246"/>
    <mergeCell ref="A248:I248"/>
    <mergeCell ref="B194:J194"/>
    <mergeCell ref="A195:C195"/>
    <mergeCell ref="A196:C196"/>
    <mergeCell ref="A197:I197"/>
    <mergeCell ref="A97:I97"/>
    <mergeCell ref="A100:C100"/>
    <mergeCell ref="A135:C135"/>
    <mergeCell ref="A136:C136"/>
    <mergeCell ref="A137:C137"/>
    <mergeCell ref="A122:I122"/>
    <mergeCell ref="A128:C128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4:I114"/>
    <mergeCell ref="A121:C121"/>
    <mergeCell ref="A69:C69"/>
    <mergeCell ref="A70:C70"/>
    <mergeCell ref="A71:C71"/>
    <mergeCell ref="A72:C72"/>
    <mergeCell ref="A73:C73"/>
    <mergeCell ref="A74:C74"/>
    <mergeCell ref="A82:C82"/>
    <mergeCell ref="A84:C84"/>
    <mergeCell ref="A78:C78"/>
    <mergeCell ref="A83:C83"/>
    <mergeCell ref="A91:C91"/>
    <mergeCell ref="A92:C92"/>
    <mergeCell ref="A93:C93"/>
    <mergeCell ref="A94:C94"/>
    <mergeCell ref="A95:C95"/>
    <mergeCell ref="A86:C86"/>
    <mergeCell ref="A87:C87"/>
    <mergeCell ref="A88:C88"/>
    <mergeCell ref="A89:C89"/>
    <mergeCell ref="A90:C90"/>
    <mergeCell ref="A85:C85"/>
    <mergeCell ref="A130:C130"/>
    <mergeCell ref="A134:C134"/>
    <mergeCell ref="B115:J115"/>
    <mergeCell ref="A131:C131"/>
    <mergeCell ref="A138:C138"/>
    <mergeCell ref="A139:C139"/>
    <mergeCell ref="A140:C140"/>
    <mergeCell ref="A142:F142"/>
    <mergeCell ref="A110:C110"/>
    <mergeCell ref="A111:C111"/>
    <mergeCell ref="A112:C112"/>
    <mergeCell ref="A113:C113"/>
    <mergeCell ref="J127:J142"/>
    <mergeCell ref="A125:C126"/>
    <mergeCell ref="A127:C127"/>
    <mergeCell ref="A129:C129"/>
    <mergeCell ref="H125:I126"/>
    <mergeCell ref="H127:I142"/>
    <mergeCell ref="D125:G125"/>
    <mergeCell ref="A133:C133"/>
    <mergeCell ref="J125:J126"/>
    <mergeCell ref="A141:C141"/>
    <mergeCell ref="B119:J119"/>
  </mergeCells>
  <pageMargins left="0.39370078740157483" right="0.39370078740157483" top="0.39370078740157483" bottom="0.78740157480314965" header="0.31496062992125984" footer="0.31496062992125984"/>
  <pageSetup paperSize="9" scale="58" fitToHeight="0" orientation="portrait" verticalDpi="4294967295" r:id="rId1"/>
  <headerFooter>
    <oddFooter>Página &amp;P de &amp;N</oddFooter>
  </headerFooter>
  <rowBreaks count="1" manualBreakCount="1">
    <brk id="75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view="pageBreakPreview" zoomScaleNormal="100" zoomScaleSheetLayoutView="100" workbookViewId="0">
      <selection activeCell="D26" sqref="D26"/>
    </sheetView>
  </sheetViews>
  <sheetFormatPr defaultRowHeight="16.5" customHeight="1" x14ac:dyDescent="0.25"/>
  <cols>
    <col min="1" max="1" width="10.7109375" style="13" customWidth="1"/>
    <col min="2" max="3" width="13.7109375" style="13" customWidth="1"/>
    <col min="4" max="4" width="86.7109375" style="13" customWidth="1"/>
    <col min="5" max="5" width="12.85546875" style="13" customWidth="1"/>
    <col min="6" max="8" width="15" style="13" customWidth="1"/>
    <col min="9" max="16384" width="9.140625" style="13"/>
  </cols>
  <sheetData>
    <row r="1" spans="1:8" s="9" customFormat="1" ht="16.5" customHeight="1" x14ac:dyDescent="0.2">
      <c r="A1" s="184" t="s">
        <v>26</v>
      </c>
      <c r="B1" s="184"/>
      <c r="C1" s="184"/>
      <c r="D1" s="184"/>
      <c r="E1" s="184"/>
      <c r="F1" s="184"/>
      <c r="G1" s="184"/>
      <c r="H1" s="184"/>
    </row>
    <row r="2" spans="1:8" s="9" customFormat="1" ht="16.5" customHeight="1" x14ac:dyDescent="0.2">
      <c r="A2" s="184"/>
      <c r="B2" s="184"/>
      <c r="C2" s="184"/>
      <c r="D2" s="184"/>
      <c r="E2" s="184"/>
      <c r="F2" s="184"/>
      <c r="G2" s="184"/>
      <c r="H2" s="184"/>
    </row>
    <row r="3" spans="1:8" s="9" customFormat="1" ht="16.5" customHeight="1" x14ac:dyDescent="0.2">
      <c r="A3" s="184"/>
      <c r="B3" s="184"/>
      <c r="C3" s="184"/>
      <c r="D3" s="184"/>
      <c r="E3" s="184"/>
      <c r="F3" s="184"/>
      <c r="G3" s="184"/>
      <c r="H3" s="184"/>
    </row>
    <row r="4" spans="1:8" s="9" customFormat="1" ht="16.5" customHeight="1" x14ac:dyDescent="0.2">
      <c r="A4" s="183" t="str">
        <f>'Plan. Orçamentária'!A4:J4</f>
        <v>ANEXO IX - OBRA POR EXECUÇÃO INDIRETA</v>
      </c>
      <c r="B4" s="183"/>
      <c r="C4" s="183"/>
      <c r="D4" s="183"/>
      <c r="E4" s="183"/>
      <c r="F4" s="183"/>
      <c r="G4" s="183"/>
      <c r="H4" s="183"/>
    </row>
    <row r="5" spans="1:8" s="9" customFormat="1" ht="16.5" customHeight="1" x14ac:dyDescent="0.2">
      <c r="A5" s="186" t="str">
        <f>'Plan. Orçamentária'!A5:J5</f>
        <v>Setor requisitante: Secretaria Municipal de Obras e Serviços Urbanos</v>
      </c>
      <c r="B5" s="186"/>
      <c r="C5" s="186"/>
      <c r="D5" s="186"/>
      <c r="E5" s="186"/>
      <c r="F5" s="186"/>
      <c r="G5" s="186"/>
      <c r="H5" s="186"/>
    </row>
    <row r="6" spans="1:8" s="9" customFormat="1" ht="16.5" customHeight="1" x14ac:dyDescent="0.2">
      <c r="A6" s="186" t="str">
        <f>'Plan. Orçamentária'!A6:B7</f>
        <v>Objeto:</v>
      </c>
      <c r="B6" s="189" t="str">
        <f>'Plan. Orçamentária'!C6</f>
        <v>Pavimentação de via em piso de concreto pré-moldado intertravado, tipo Pavi-s - Rua Artur de Araújo, bairro São José - Nova Era/MG              Convênio SICONV Nº 920268/2021, Operação Nº 1079841-34</v>
      </c>
      <c r="C6" s="189"/>
      <c r="D6" s="189"/>
      <c r="E6" s="190" t="str">
        <f>'Plan. Orçamentária'!H6:H7</f>
        <v>BDI:</v>
      </c>
      <c r="F6" s="191">
        <f>'Plan. Orçamentária'!I6:I7</f>
        <v>0.30380000000000001</v>
      </c>
      <c r="G6" s="185" t="str">
        <f>'Plan. Orçamentária'!J6:J7</f>
        <v>30//08/2022</v>
      </c>
      <c r="H6" s="185"/>
    </row>
    <row r="7" spans="1:8" s="9" customFormat="1" ht="16.5" customHeight="1" x14ac:dyDescent="0.2">
      <c r="A7" s="186"/>
      <c r="B7" s="189"/>
      <c r="C7" s="189"/>
      <c r="D7" s="189"/>
      <c r="E7" s="190"/>
      <c r="F7" s="191"/>
      <c r="G7" s="185"/>
      <c r="H7" s="185"/>
    </row>
    <row r="8" spans="1:8" s="9" customFormat="1" ht="16.5" customHeight="1" x14ac:dyDescent="0.2">
      <c r="A8" s="183" t="s">
        <v>41</v>
      </c>
      <c r="B8" s="183"/>
      <c r="C8" s="183"/>
      <c r="D8" s="183"/>
      <c r="E8" s="183"/>
      <c r="F8" s="183"/>
      <c r="G8" s="183"/>
      <c r="H8" s="183"/>
    </row>
    <row r="9" spans="1:8" s="9" customFormat="1" ht="25.5" customHeight="1" x14ac:dyDescent="0.2">
      <c r="A9" s="70">
        <v>1</v>
      </c>
      <c r="B9" s="133" t="str">
        <f>'Mem. Cálc. - P.O'!B25:J25</f>
        <v>Administração local da obra</v>
      </c>
      <c r="C9" s="133"/>
      <c r="D9" s="133"/>
      <c r="E9" s="133"/>
      <c r="F9" s="133"/>
      <c r="G9" s="133"/>
      <c r="H9" s="133"/>
    </row>
    <row r="10" spans="1:8" s="9" customFormat="1" ht="25.5" customHeight="1" x14ac:dyDescent="0.2">
      <c r="A10" s="61" t="s">
        <v>4</v>
      </c>
      <c r="B10" s="61" t="s">
        <v>160</v>
      </c>
      <c r="C10" s="61" t="s">
        <v>161</v>
      </c>
      <c r="D10" s="61" t="s">
        <v>24</v>
      </c>
      <c r="E10" s="61" t="s">
        <v>20</v>
      </c>
      <c r="F10" s="61" t="s">
        <v>21</v>
      </c>
      <c r="G10" s="61" t="s">
        <v>162</v>
      </c>
      <c r="H10" s="37" t="s">
        <v>163</v>
      </c>
    </row>
    <row r="11" spans="1:8" s="9" customFormat="1" ht="25.5" customHeight="1" x14ac:dyDescent="0.2">
      <c r="A11" s="16" t="s">
        <v>35</v>
      </c>
      <c r="B11" s="32" t="s">
        <v>263</v>
      </c>
      <c r="C11" s="32" t="s">
        <v>165</v>
      </c>
      <c r="D11" s="63" t="str">
        <f>'Mem. Cálc. - P.O'!A26</f>
        <v>Engenheiro Civil de obras Junior com encargos complementares</v>
      </c>
      <c r="E11" s="16" t="s">
        <v>34</v>
      </c>
      <c r="F11" s="15">
        <f>'Mem. Cálc. - P.O'!J29</f>
        <v>66</v>
      </c>
      <c r="G11" s="29">
        <v>87.35</v>
      </c>
      <c r="H11" s="29">
        <f>F11*G11</f>
        <v>5765.1</v>
      </c>
    </row>
    <row r="12" spans="1:8" s="9" customFormat="1" ht="25.5" customHeight="1" x14ac:dyDescent="0.2">
      <c r="A12" s="16" t="s">
        <v>38</v>
      </c>
      <c r="B12" s="32" t="s">
        <v>264</v>
      </c>
      <c r="C12" s="32" t="s">
        <v>165</v>
      </c>
      <c r="D12" s="63" t="str">
        <f>'Mem. Cálc. - P.O'!A30</f>
        <v>Encarregado geral com encargos complementares</v>
      </c>
      <c r="E12" s="16" t="s">
        <v>34</v>
      </c>
      <c r="F12" s="15">
        <f>'Mem. Cálc. - P.O'!J33</f>
        <v>198</v>
      </c>
      <c r="G12" s="29">
        <v>33.08</v>
      </c>
      <c r="H12" s="29">
        <f t="shared" ref="H12:H14" si="0">F12*G12</f>
        <v>6549.84</v>
      </c>
    </row>
    <row r="13" spans="1:8" s="9" customFormat="1" ht="25.5" customHeight="1" x14ac:dyDescent="0.2">
      <c r="A13" s="16" t="s">
        <v>170</v>
      </c>
      <c r="B13" s="38">
        <v>90781</v>
      </c>
      <c r="C13" s="32" t="s">
        <v>165</v>
      </c>
      <c r="D13" s="63" t="str">
        <f>'Mem. Cálc. - P.O'!A34</f>
        <v>Topógrafo com encargos complementares</v>
      </c>
      <c r="E13" s="16" t="s">
        <v>34</v>
      </c>
      <c r="F13" s="15">
        <f>'Mem. Cálc. - P.O'!J37</f>
        <v>33</v>
      </c>
      <c r="G13" s="29">
        <v>34.74</v>
      </c>
      <c r="H13" s="29">
        <f t="shared" si="0"/>
        <v>1146.42</v>
      </c>
    </row>
    <row r="14" spans="1:8" s="9" customFormat="1" ht="25.5" customHeight="1" x14ac:dyDescent="0.2">
      <c r="A14" s="16" t="s">
        <v>283</v>
      </c>
      <c r="B14" s="38">
        <v>88253</v>
      </c>
      <c r="C14" s="32" t="s">
        <v>165</v>
      </c>
      <c r="D14" s="63" t="str">
        <f>'Mem. Cálc. - P.O'!A38</f>
        <v>Auxiliar de topógrafo com encargos complementares</v>
      </c>
      <c r="E14" s="16" t="s">
        <v>34</v>
      </c>
      <c r="F14" s="15">
        <f>'Mem. Cálc. - P.O'!J41</f>
        <v>33</v>
      </c>
      <c r="G14" s="29">
        <v>16.47</v>
      </c>
      <c r="H14" s="29">
        <f t="shared" si="0"/>
        <v>543.51</v>
      </c>
    </row>
    <row r="15" spans="1:8" s="9" customFormat="1" ht="16.5" customHeight="1" x14ac:dyDescent="0.2">
      <c r="A15" s="100" t="str">
        <f>"TOTAL - "&amp; "UN"</f>
        <v>TOTAL - UN</v>
      </c>
      <c r="B15" s="100"/>
      <c r="C15" s="100"/>
      <c r="D15" s="100"/>
      <c r="E15" s="100"/>
      <c r="F15" s="100"/>
      <c r="G15" s="100"/>
      <c r="H15" s="71">
        <f>SUM(H11:H14)</f>
        <v>14004.87</v>
      </c>
    </row>
    <row r="16" spans="1:8" ht="16.5" customHeight="1" x14ac:dyDescent="0.25">
      <c r="A16" s="70">
        <v>2</v>
      </c>
      <c r="B16" s="187" t="str">
        <f>'Plan. Orçamentária'!E39</f>
        <v>Tampa de concreto armado para caixa de inspeção em alvenaria e=15 cm</v>
      </c>
      <c r="C16" s="188"/>
      <c r="D16" s="188"/>
      <c r="E16" s="188"/>
      <c r="F16" s="188"/>
      <c r="G16" s="188"/>
      <c r="H16" s="188"/>
    </row>
    <row r="17" spans="1:8" ht="25.5" x14ac:dyDescent="0.25">
      <c r="A17" s="87" t="s">
        <v>4</v>
      </c>
      <c r="B17" s="87" t="s">
        <v>159</v>
      </c>
      <c r="C17" s="87" t="s">
        <v>160</v>
      </c>
      <c r="D17" s="87" t="s">
        <v>161</v>
      </c>
      <c r="E17" s="87" t="s">
        <v>20</v>
      </c>
      <c r="F17" s="87" t="s">
        <v>21</v>
      </c>
      <c r="G17" s="87" t="s">
        <v>162</v>
      </c>
      <c r="H17" s="37" t="s">
        <v>163</v>
      </c>
    </row>
    <row r="18" spans="1:8" ht="22.5" x14ac:dyDescent="0.25">
      <c r="A18" s="16" t="s">
        <v>35</v>
      </c>
      <c r="B18" s="56" t="s">
        <v>166</v>
      </c>
      <c r="C18" s="32" t="s">
        <v>83</v>
      </c>
      <c r="D18" s="63" t="s">
        <v>168</v>
      </c>
      <c r="E18" s="16" t="s">
        <v>33</v>
      </c>
      <c r="F18" s="15">
        <f>((1.34*(13*2))*0.617)/(1.4*1.4)</f>
        <v>10.967489799999999</v>
      </c>
      <c r="G18" s="29">
        <v>12.45</v>
      </c>
      <c r="H18" s="29">
        <f>F18*G18</f>
        <v>136.55000000000001</v>
      </c>
    </row>
    <row r="19" spans="1:8" ht="22.5" x14ac:dyDescent="0.25">
      <c r="A19" s="16" t="s">
        <v>38</v>
      </c>
      <c r="B19" s="54" t="s">
        <v>167</v>
      </c>
      <c r="C19" s="32" t="s">
        <v>83</v>
      </c>
      <c r="D19" s="63" t="s">
        <v>169</v>
      </c>
      <c r="E19" s="16" t="s">
        <v>29</v>
      </c>
      <c r="F19" s="15">
        <f>((1.4*1.4)+((1.4*4)*0.15))/(1.4*1.4)</f>
        <v>1.4285714</v>
      </c>
      <c r="G19" s="29">
        <v>57.85</v>
      </c>
      <c r="H19" s="29">
        <f t="shared" ref="H19:H20" si="1">F19*G19</f>
        <v>82.64</v>
      </c>
    </row>
    <row r="20" spans="1:8" ht="25.5" x14ac:dyDescent="0.25">
      <c r="A20" s="16" t="s">
        <v>170</v>
      </c>
      <c r="B20" s="54" t="s">
        <v>239</v>
      </c>
      <c r="C20" s="32" t="s">
        <v>83</v>
      </c>
      <c r="D20" s="63" t="s">
        <v>240</v>
      </c>
      <c r="E20" s="16" t="s">
        <v>30</v>
      </c>
      <c r="F20" s="15">
        <f>(1.4*1.4*0.15)/(1.4*1.4)</f>
        <v>0.15</v>
      </c>
      <c r="G20" s="29">
        <v>593.51</v>
      </c>
      <c r="H20" s="29">
        <f t="shared" si="1"/>
        <v>89.03</v>
      </c>
    </row>
    <row r="21" spans="1:8" ht="16.5" customHeight="1" x14ac:dyDescent="0.25">
      <c r="A21" s="100" t="str">
        <f>"TOTAL - "&amp; "M2"</f>
        <v>TOTAL - M2</v>
      </c>
      <c r="B21" s="100"/>
      <c r="C21" s="100"/>
      <c r="D21" s="100"/>
      <c r="E21" s="100"/>
      <c r="F21" s="100"/>
      <c r="G21" s="100"/>
      <c r="H21" s="71">
        <f>SUM(H18:H20)</f>
        <v>308.22000000000003</v>
      </c>
    </row>
  </sheetData>
  <mergeCells count="13">
    <mergeCell ref="B16:H16"/>
    <mergeCell ref="A21:G21"/>
    <mergeCell ref="A15:G15"/>
    <mergeCell ref="A6:A7"/>
    <mergeCell ref="B6:D7"/>
    <mergeCell ref="E6:E7"/>
    <mergeCell ref="F6:F7"/>
    <mergeCell ref="B9:H9"/>
    <mergeCell ref="A4:H4"/>
    <mergeCell ref="A1:H3"/>
    <mergeCell ref="A8:H8"/>
    <mergeCell ref="G6:H7"/>
    <mergeCell ref="A5:H5"/>
  </mergeCells>
  <phoneticPr fontId="16" type="noConversion"/>
  <pageMargins left="0.19685039370078741" right="0.19685039370078741" top="0.19685039370078741" bottom="1.1811023622047245" header="0.31496062992125984" footer="0.31496062992125984"/>
  <pageSetup paperSize="9" scale="78" fitToHeight="0" orientation="landscape" verticalDpi="4294967295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zoomScaleNormal="100" zoomScaleSheetLayoutView="100" workbookViewId="0">
      <selection activeCell="A8" sqref="A8:J8"/>
    </sheetView>
  </sheetViews>
  <sheetFormatPr defaultRowHeight="16.5" customHeight="1" x14ac:dyDescent="0.25"/>
  <cols>
    <col min="1" max="1" width="14.7109375" style="39" customWidth="1"/>
    <col min="2" max="2" width="31.5703125" style="39" customWidth="1"/>
    <col min="3" max="6" width="14.7109375" style="39" customWidth="1"/>
    <col min="7" max="7" width="12.85546875" style="39" customWidth="1"/>
    <col min="8" max="8" width="10.140625" style="39" customWidth="1"/>
    <col min="9" max="10" width="18" style="39" customWidth="1"/>
    <col min="11" max="194" width="9.140625" style="39"/>
    <col min="195" max="195" width="14.7109375" style="39" customWidth="1"/>
    <col min="196" max="196" width="31.5703125" style="39" customWidth="1"/>
    <col min="197" max="204" width="14.7109375" style="39" customWidth="1"/>
    <col min="205" max="205" width="18" style="39" customWidth="1"/>
    <col min="206" max="206" width="18.140625" style="39" customWidth="1"/>
    <col min="207" max="207" width="14.28515625" style="39" customWidth="1"/>
    <col min="208" max="450" width="9.140625" style="39"/>
    <col min="451" max="451" width="14.7109375" style="39" customWidth="1"/>
    <col min="452" max="452" width="31.5703125" style="39" customWidth="1"/>
    <col min="453" max="460" width="14.7109375" style="39" customWidth="1"/>
    <col min="461" max="461" width="18" style="39" customWidth="1"/>
    <col min="462" max="462" width="18.140625" style="39" customWidth="1"/>
    <col min="463" max="463" width="14.28515625" style="39" customWidth="1"/>
    <col min="464" max="706" width="9.140625" style="39"/>
    <col min="707" max="707" width="14.7109375" style="39" customWidth="1"/>
    <col min="708" max="708" width="31.5703125" style="39" customWidth="1"/>
    <col min="709" max="716" width="14.7109375" style="39" customWidth="1"/>
    <col min="717" max="717" width="18" style="39" customWidth="1"/>
    <col min="718" max="718" width="18.140625" style="39" customWidth="1"/>
    <col min="719" max="719" width="14.28515625" style="39" customWidth="1"/>
    <col min="720" max="962" width="9.140625" style="39"/>
    <col min="963" max="963" width="14.7109375" style="39" customWidth="1"/>
    <col min="964" max="964" width="31.5703125" style="39" customWidth="1"/>
    <col min="965" max="972" width="14.7109375" style="39" customWidth="1"/>
    <col min="973" max="973" width="18" style="39" customWidth="1"/>
    <col min="974" max="974" width="18.140625" style="39" customWidth="1"/>
    <col min="975" max="975" width="14.28515625" style="39" customWidth="1"/>
    <col min="976" max="1218" width="9.140625" style="39"/>
    <col min="1219" max="1219" width="14.7109375" style="39" customWidth="1"/>
    <col min="1220" max="1220" width="31.5703125" style="39" customWidth="1"/>
    <col min="1221" max="1228" width="14.7109375" style="39" customWidth="1"/>
    <col min="1229" max="1229" width="18" style="39" customWidth="1"/>
    <col min="1230" max="1230" width="18.140625" style="39" customWidth="1"/>
    <col min="1231" max="1231" width="14.28515625" style="39" customWidth="1"/>
    <col min="1232" max="1474" width="9.140625" style="39"/>
    <col min="1475" max="1475" width="14.7109375" style="39" customWidth="1"/>
    <col min="1476" max="1476" width="31.5703125" style="39" customWidth="1"/>
    <col min="1477" max="1484" width="14.7109375" style="39" customWidth="1"/>
    <col min="1485" max="1485" width="18" style="39" customWidth="1"/>
    <col min="1486" max="1486" width="18.140625" style="39" customWidth="1"/>
    <col min="1487" max="1487" width="14.28515625" style="39" customWidth="1"/>
    <col min="1488" max="1730" width="9.140625" style="39"/>
    <col min="1731" max="1731" width="14.7109375" style="39" customWidth="1"/>
    <col min="1732" max="1732" width="31.5703125" style="39" customWidth="1"/>
    <col min="1733" max="1740" width="14.7109375" style="39" customWidth="1"/>
    <col min="1741" max="1741" width="18" style="39" customWidth="1"/>
    <col min="1742" max="1742" width="18.140625" style="39" customWidth="1"/>
    <col min="1743" max="1743" width="14.28515625" style="39" customWidth="1"/>
    <col min="1744" max="1986" width="9.140625" style="39"/>
    <col min="1987" max="1987" width="14.7109375" style="39" customWidth="1"/>
    <col min="1988" max="1988" width="31.5703125" style="39" customWidth="1"/>
    <col min="1989" max="1996" width="14.7109375" style="39" customWidth="1"/>
    <col min="1997" max="1997" width="18" style="39" customWidth="1"/>
    <col min="1998" max="1998" width="18.140625" style="39" customWidth="1"/>
    <col min="1999" max="1999" width="14.28515625" style="39" customWidth="1"/>
    <col min="2000" max="2242" width="9.140625" style="39"/>
    <col min="2243" max="2243" width="14.7109375" style="39" customWidth="1"/>
    <col min="2244" max="2244" width="31.5703125" style="39" customWidth="1"/>
    <col min="2245" max="2252" width="14.7109375" style="39" customWidth="1"/>
    <col min="2253" max="2253" width="18" style="39" customWidth="1"/>
    <col min="2254" max="2254" width="18.140625" style="39" customWidth="1"/>
    <col min="2255" max="2255" width="14.28515625" style="39" customWidth="1"/>
    <col min="2256" max="2498" width="9.140625" style="39"/>
    <col min="2499" max="2499" width="14.7109375" style="39" customWidth="1"/>
    <col min="2500" max="2500" width="31.5703125" style="39" customWidth="1"/>
    <col min="2501" max="2508" width="14.7109375" style="39" customWidth="1"/>
    <col min="2509" max="2509" width="18" style="39" customWidth="1"/>
    <col min="2510" max="2510" width="18.140625" style="39" customWidth="1"/>
    <col min="2511" max="2511" width="14.28515625" style="39" customWidth="1"/>
    <col min="2512" max="2754" width="9.140625" style="39"/>
    <col min="2755" max="2755" width="14.7109375" style="39" customWidth="1"/>
    <col min="2756" max="2756" width="31.5703125" style="39" customWidth="1"/>
    <col min="2757" max="2764" width="14.7109375" style="39" customWidth="1"/>
    <col min="2765" max="2765" width="18" style="39" customWidth="1"/>
    <col min="2766" max="2766" width="18.140625" style="39" customWidth="1"/>
    <col min="2767" max="2767" width="14.28515625" style="39" customWidth="1"/>
    <col min="2768" max="3010" width="9.140625" style="39"/>
    <col min="3011" max="3011" width="14.7109375" style="39" customWidth="1"/>
    <col min="3012" max="3012" width="31.5703125" style="39" customWidth="1"/>
    <col min="3013" max="3020" width="14.7109375" style="39" customWidth="1"/>
    <col min="3021" max="3021" width="18" style="39" customWidth="1"/>
    <col min="3022" max="3022" width="18.140625" style="39" customWidth="1"/>
    <col min="3023" max="3023" width="14.28515625" style="39" customWidth="1"/>
    <col min="3024" max="3266" width="9.140625" style="39"/>
    <col min="3267" max="3267" width="14.7109375" style="39" customWidth="1"/>
    <col min="3268" max="3268" width="31.5703125" style="39" customWidth="1"/>
    <col min="3269" max="3276" width="14.7109375" style="39" customWidth="1"/>
    <col min="3277" max="3277" width="18" style="39" customWidth="1"/>
    <col min="3278" max="3278" width="18.140625" style="39" customWidth="1"/>
    <col min="3279" max="3279" width="14.28515625" style="39" customWidth="1"/>
    <col min="3280" max="3522" width="9.140625" style="39"/>
    <col min="3523" max="3523" width="14.7109375" style="39" customWidth="1"/>
    <col min="3524" max="3524" width="31.5703125" style="39" customWidth="1"/>
    <col min="3525" max="3532" width="14.7109375" style="39" customWidth="1"/>
    <col min="3533" max="3533" width="18" style="39" customWidth="1"/>
    <col min="3534" max="3534" width="18.140625" style="39" customWidth="1"/>
    <col min="3535" max="3535" width="14.28515625" style="39" customWidth="1"/>
    <col min="3536" max="3778" width="9.140625" style="39"/>
    <col min="3779" max="3779" width="14.7109375" style="39" customWidth="1"/>
    <col min="3780" max="3780" width="31.5703125" style="39" customWidth="1"/>
    <col min="3781" max="3788" width="14.7109375" style="39" customWidth="1"/>
    <col min="3789" max="3789" width="18" style="39" customWidth="1"/>
    <col min="3790" max="3790" width="18.140625" style="39" customWidth="1"/>
    <col min="3791" max="3791" width="14.28515625" style="39" customWidth="1"/>
    <col min="3792" max="4034" width="9.140625" style="39"/>
    <col min="4035" max="4035" width="14.7109375" style="39" customWidth="1"/>
    <col min="4036" max="4036" width="31.5703125" style="39" customWidth="1"/>
    <col min="4037" max="4044" width="14.7109375" style="39" customWidth="1"/>
    <col min="4045" max="4045" width="18" style="39" customWidth="1"/>
    <col min="4046" max="4046" width="18.140625" style="39" customWidth="1"/>
    <col min="4047" max="4047" width="14.28515625" style="39" customWidth="1"/>
    <col min="4048" max="4290" width="9.140625" style="39"/>
    <col min="4291" max="4291" width="14.7109375" style="39" customWidth="1"/>
    <col min="4292" max="4292" width="31.5703125" style="39" customWidth="1"/>
    <col min="4293" max="4300" width="14.7109375" style="39" customWidth="1"/>
    <col min="4301" max="4301" width="18" style="39" customWidth="1"/>
    <col min="4302" max="4302" width="18.140625" style="39" customWidth="1"/>
    <col min="4303" max="4303" width="14.28515625" style="39" customWidth="1"/>
    <col min="4304" max="4546" width="9.140625" style="39"/>
    <col min="4547" max="4547" width="14.7109375" style="39" customWidth="1"/>
    <col min="4548" max="4548" width="31.5703125" style="39" customWidth="1"/>
    <col min="4549" max="4556" width="14.7109375" style="39" customWidth="1"/>
    <col min="4557" max="4557" width="18" style="39" customWidth="1"/>
    <col min="4558" max="4558" width="18.140625" style="39" customWidth="1"/>
    <col min="4559" max="4559" width="14.28515625" style="39" customWidth="1"/>
    <col min="4560" max="4802" width="9.140625" style="39"/>
    <col min="4803" max="4803" width="14.7109375" style="39" customWidth="1"/>
    <col min="4804" max="4804" width="31.5703125" style="39" customWidth="1"/>
    <col min="4805" max="4812" width="14.7109375" style="39" customWidth="1"/>
    <col min="4813" max="4813" width="18" style="39" customWidth="1"/>
    <col min="4814" max="4814" width="18.140625" style="39" customWidth="1"/>
    <col min="4815" max="4815" width="14.28515625" style="39" customWidth="1"/>
    <col min="4816" max="5058" width="9.140625" style="39"/>
    <col min="5059" max="5059" width="14.7109375" style="39" customWidth="1"/>
    <col min="5060" max="5060" width="31.5703125" style="39" customWidth="1"/>
    <col min="5061" max="5068" width="14.7109375" style="39" customWidth="1"/>
    <col min="5069" max="5069" width="18" style="39" customWidth="1"/>
    <col min="5070" max="5070" width="18.140625" style="39" customWidth="1"/>
    <col min="5071" max="5071" width="14.28515625" style="39" customWidth="1"/>
    <col min="5072" max="5314" width="9.140625" style="39"/>
    <col min="5315" max="5315" width="14.7109375" style="39" customWidth="1"/>
    <col min="5316" max="5316" width="31.5703125" style="39" customWidth="1"/>
    <col min="5317" max="5324" width="14.7109375" style="39" customWidth="1"/>
    <col min="5325" max="5325" width="18" style="39" customWidth="1"/>
    <col min="5326" max="5326" width="18.140625" style="39" customWidth="1"/>
    <col min="5327" max="5327" width="14.28515625" style="39" customWidth="1"/>
    <col min="5328" max="5570" width="9.140625" style="39"/>
    <col min="5571" max="5571" width="14.7109375" style="39" customWidth="1"/>
    <col min="5572" max="5572" width="31.5703125" style="39" customWidth="1"/>
    <col min="5573" max="5580" width="14.7109375" style="39" customWidth="1"/>
    <col min="5581" max="5581" width="18" style="39" customWidth="1"/>
    <col min="5582" max="5582" width="18.140625" style="39" customWidth="1"/>
    <col min="5583" max="5583" width="14.28515625" style="39" customWidth="1"/>
    <col min="5584" max="5826" width="9.140625" style="39"/>
    <col min="5827" max="5827" width="14.7109375" style="39" customWidth="1"/>
    <col min="5828" max="5828" width="31.5703125" style="39" customWidth="1"/>
    <col min="5829" max="5836" width="14.7109375" style="39" customWidth="1"/>
    <col min="5837" max="5837" width="18" style="39" customWidth="1"/>
    <col min="5838" max="5838" width="18.140625" style="39" customWidth="1"/>
    <col min="5839" max="5839" width="14.28515625" style="39" customWidth="1"/>
    <col min="5840" max="6082" width="9.140625" style="39"/>
    <col min="6083" max="6083" width="14.7109375" style="39" customWidth="1"/>
    <col min="6084" max="6084" width="31.5703125" style="39" customWidth="1"/>
    <col min="6085" max="6092" width="14.7109375" style="39" customWidth="1"/>
    <col min="6093" max="6093" width="18" style="39" customWidth="1"/>
    <col min="6094" max="6094" width="18.140625" style="39" customWidth="1"/>
    <col min="6095" max="6095" width="14.28515625" style="39" customWidth="1"/>
    <col min="6096" max="6338" width="9.140625" style="39"/>
    <col min="6339" max="6339" width="14.7109375" style="39" customWidth="1"/>
    <col min="6340" max="6340" width="31.5703125" style="39" customWidth="1"/>
    <col min="6341" max="6348" width="14.7109375" style="39" customWidth="1"/>
    <col min="6349" max="6349" width="18" style="39" customWidth="1"/>
    <col min="6350" max="6350" width="18.140625" style="39" customWidth="1"/>
    <col min="6351" max="6351" width="14.28515625" style="39" customWidth="1"/>
    <col min="6352" max="6594" width="9.140625" style="39"/>
    <col min="6595" max="6595" width="14.7109375" style="39" customWidth="1"/>
    <col min="6596" max="6596" width="31.5703125" style="39" customWidth="1"/>
    <col min="6597" max="6604" width="14.7109375" style="39" customWidth="1"/>
    <col min="6605" max="6605" width="18" style="39" customWidth="1"/>
    <col min="6606" max="6606" width="18.140625" style="39" customWidth="1"/>
    <col min="6607" max="6607" width="14.28515625" style="39" customWidth="1"/>
    <col min="6608" max="6850" width="9.140625" style="39"/>
    <col min="6851" max="6851" width="14.7109375" style="39" customWidth="1"/>
    <col min="6852" max="6852" width="31.5703125" style="39" customWidth="1"/>
    <col min="6853" max="6860" width="14.7109375" style="39" customWidth="1"/>
    <col min="6861" max="6861" width="18" style="39" customWidth="1"/>
    <col min="6862" max="6862" width="18.140625" style="39" customWidth="1"/>
    <col min="6863" max="6863" width="14.28515625" style="39" customWidth="1"/>
    <col min="6864" max="7106" width="9.140625" style="39"/>
    <col min="7107" max="7107" width="14.7109375" style="39" customWidth="1"/>
    <col min="7108" max="7108" width="31.5703125" style="39" customWidth="1"/>
    <col min="7109" max="7116" width="14.7109375" style="39" customWidth="1"/>
    <col min="7117" max="7117" width="18" style="39" customWidth="1"/>
    <col min="7118" max="7118" width="18.140625" style="39" customWidth="1"/>
    <col min="7119" max="7119" width="14.28515625" style="39" customWidth="1"/>
    <col min="7120" max="16384" width="9.140625" style="39"/>
  </cols>
  <sheetData>
    <row r="1" spans="1:10" ht="16.5" customHeight="1" x14ac:dyDescent="0.25">
      <c r="A1" s="192" t="s">
        <v>26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6.5" customHeight="1" x14ac:dyDescent="0.25">
      <c r="A2" s="192"/>
      <c r="B2" s="192"/>
      <c r="C2" s="192"/>
      <c r="D2" s="192"/>
      <c r="E2" s="192"/>
      <c r="F2" s="192"/>
      <c r="G2" s="192"/>
      <c r="H2" s="192"/>
      <c r="I2" s="192"/>
      <c r="J2" s="192"/>
    </row>
    <row r="3" spans="1:10" ht="16.5" customHeight="1" x14ac:dyDescent="0.25">
      <c r="A3" s="192"/>
      <c r="B3" s="192"/>
      <c r="C3" s="192"/>
      <c r="D3" s="192"/>
      <c r="E3" s="192"/>
      <c r="F3" s="192"/>
      <c r="G3" s="192"/>
      <c r="H3" s="192"/>
      <c r="I3" s="192"/>
      <c r="J3" s="192"/>
    </row>
    <row r="4" spans="1:10" ht="16.5" customHeight="1" x14ac:dyDescent="0.25">
      <c r="A4" s="183" t="str">
        <f>'[1]Planilha orçamentária'!A4:I4</f>
        <v>OBRA POR EXECUÇÃO INDIRETA</v>
      </c>
      <c r="B4" s="183"/>
      <c r="C4" s="183"/>
      <c r="D4" s="183"/>
      <c r="E4" s="183"/>
      <c r="F4" s="183"/>
      <c r="G4" s="183"/>
      <c r="H4" s="183"/>
      <c r="I4" s="183"/>
      <c r="J4" s="183"/>
    </row>
    <row r="5" spans="1:10" ht="16.5" customHeight="1" x14ac:dyDescent="0.25">
      <c r="A5" s="186" t="str">
        <f>'[1]Planilha orçamentária'!A5:I5</f>
        <v>Setor requisitante: Secretaria Municipal de Obras e Serviços Urbanos</v>
      </c>
      <c r="B5" s="186"/>
      <c r="C5" s="186"/>
      <c r="D5" s="186"/>
      <c r="E5" s="186"/>
      <c r="F5" s="186"/>
      <c r="G5" s="186"/>
      <c r="H5" s="186"/>
      <c r="I5" s="186"/>
      <c r="J5" s="186"/>
    </row>
    <row r="6" spans="1:10" ht="16.5" customHeight="1" x14ac:dyDescent="0.25">
      <c r="A6" s="204" t="str">
        <f>'[1]Planilha orçamentária'!A6:A7</f>
        <v>Objeto:</v>
      </c>
      <c r="B6" s="186" t="str">
        <f>'Plan. Orçamentária'!C6</f>
        <v>Pavimentação de via em piso de concreto pré-moldado intertravado, tipo Pavi-s - Rua Artur de Araújo, bairro São José - Nova Era/MG              Convênio SICONV Nº 920268/2021, Operação Nº 1079841-34</v>
      </c>
      <c r="C6" s="186"/>
      <c r="D6" s="186"/>
      <c r="E6" s="186"/>
      <c r="F6" s="186"/>
      <c r="G6" s="186" t="s">
        <v>252</v>
      </c>
      <c r="H6" s="186"/>
      <c r="I6" s="73" t="s">
        <v>250</v>
      </c>
      <c r="J6" s="193" t="str">
        <f>'Plan. Orçamentária'!J6:J7</f>
        <v>30//08/2022</v>
      </c>
    </row>
    <row r="7" spans="1:10" ht="24.75" customHeight="1" x14ac:dyDescent="0.25">
      <c r="A7" s="205"/>
      <c r="B7" s="186"/>
      <c r="C7" s="186"/>
      <c r="D7" s="186"/>
      <c r="E7" s="186"/>
      <c r="F7" s="186"/>
      <c r="G7" s="186" t="s">
        <v>249</v>
      </c>
      <c r="H7" s="186"/>
      <c r="I7" s="73" t="s">
        <v>251</v>
      </c>
      <c r="J7" s="193"/>
    </row>
    <row r="8" spans="1:10" ht="16.5" customHeight="1" x14ac:dyDescent="0.25">
      <c r="A8" s="183" t="s">
        <v>106</v>
      </c>
      <c r="B8" s="183"/>
      <c r="C8" s="183"/>
      <c r="D8" s="183"/>
      <c r="E8" s="183"/>
      <c r="F8" s="183"/>
      <c r="G8" s="183"/>
      <c r="H8" s="183"/>
      <c r="I8" s="183"/>
      <c r="J8" s="183"/>
    </row>
    <row r="9" spans="1:10" ht="16.5" customHeight="1" x14ac:dyDescent="0.25">
      <c r="A9" s="189"/>
      <c r="B9" s="189"/>
      <c r="C9" s="189"/>
      <c r="D9" s="189"/>
      <c r="E9" s="189"/>
      <c r="F9" s="189"/>
      <c r="G9" s="189"/>
      <c r="H9" s="189"/>
      <c r="I9" s="189"/>
      <c r="J9" s="189"/>
    </row>
    <row r="10" spans="1:10" ht="16.5" customHeight="1" x14ac:dyDescent="0.25">
      <c r="A10" s="194" t="s">
        <v>107</v>
      </c>
      <c r="B10" s="194"/>
      <c r="C10" s="194"/>
      <c r="D10" s="194"/>
      <c r="E10" s="194"/>
      <c r="F10" s="194"/>
      <c r="G10" s="194"/>
      <c r="H10" s="194"/>
      <c r="I10" s="195">
        <v>0.9</v>
      </c>
      <c r="J10" s="195"/>
    </row>
    <row r="11" spans="1:10" ht="16.5" customHeight="1" x14ac:dyDescent="0.25">
      <c r="A11" s="194" t="s">
        <v>108</v>
      </c>
      <c r="B11" s="194"/>
      <c r="C11" s="194"/>
      <c r="D11" s="194"/>
      <c r="E11" s="194"/>
      <c r="F11" s="194"/>
      <c r="G11" s="194"/>
      <c r="H11" s="194"/>
      <c r="I11" s="195">
        <v>0.05</v>
      </c>
      <c r="J11" s="195"/>
    </row>
    <row r="12" spans="1:10" ht="16.5" customHeight="1" x14ac:dyDescent="0.25">
      <c r="A12" s="189"/>
      <c r="B12" s="189"/>
      <c r="C12" s="189"/>
      <c r="D12" s="189"/>
      <c r="E12" s="189"/>
      <c r="F12" s="189"/>
      <c r="G12" s="189"/>
      <c r="H12" s="189"/>
      <c r="I12" s="189"/>
      <c r="J12" s="189"/>
    </row>
    <row r="13" spans="1:10" ht="16.5" customHeight="1" x14ac:dyDescent="0.25">
      <c r="A13" s="126" t="s">
        <v>109</v>
      </c>
      <c r="B13" s="126"/>
      <c r="C13" s="126"/>
      <c r="D13" s="126"/>
      <c r="E13" s="126"/>
      <c r="F13" s="126"/>
      <c r="G13" s="126"/>
      <c r="H13" s="126"/>
      <c r="I13" s="126"/>
      <c r="J13" s="126"/>
    </row>
    <row r="14" spans="1:10" ht="16.5" customHeight="1" x14ac:dyDescent="0.25">
      <c r="A14" s="196"/>
      <c r="B14" s="197"/>
      <c r="C14" s="197"/>
      <c r="D14" s="197"/>
      <c r="E14" s="197"/>
      <c r="F14" s="197"/>
      <c r="G14" s="197"/>
      <c r="H14" s="197"/>
      <c r="I14" s="197"/>
      <c r="J14" s="198"/>
    </row>
    <row r="15" spans="1:10" ht="16.5" customHeight="1" x14ac:dyDescent="0.25">
      <c r="A15" s="199" t="s">
        <v>110</v>
      </c>
      <c r="B15" s="199"/>
      <c r="C15" s="199"/>
      <c r="D15" s="199"/>
      <c r="E15" s="199"/>
      <c r="F15" s="199"/>
      <c r="G15" s="199"/>
      <c r="H15" s="199"/>
      <c r="I15" s="199"/>
      <c r="J15" s="199"/>
    </row>
    <row r="16" spans="1:10" ht="16.5" customHeight="1" x14ac:dyDescent="0.25">
      <c r="A16" s="200" t="s">
        <v>111</v>
      </c>
      <c r="B16" s="200"/>
      <c r="C16" s="200"/>
      <c r="D16" s="200"/>
      <c r="E16" s="200"/>
      <c r="F16" s="200"/>
      <c r="G16" s="200"/>
      <c r="H16" s="200"/>
      <c r="I16" s="200"/>
      <c r="J16" s="200"/>
    </row>
    <row r="17" spans="1:10" ht="16.5" customHeight="1" x14ac:dyDescent="0.25">
      <c r="A17" s="189"/>
      <c r="B17" s="189"/>
      <c r="C17" s="189"/>
      <c r="D17" s="189"/>
      <c r="E17" s="189"/>
      <c r="F17" s="189"/>
      <c r="G17" s="189"/>
      <c r="H17" s="189"/>
      <c r="I17" s="189"/>
      <c r="J17" s="189"/>
    </row>
    <row r="18" spans="1:10" ht="16.5" customHeight="1" x14ac:dyDescent="0.25">
      <c r="A18" s="226" t="s">
        <v>112</v>
      </c>
      <c r="B18" s="226"/>
      <c r="C18" s="226"/>
      <c r="D18" s="226"/>
      <c r="E18" s="226"/>
      <c r="F18" s="226"/>
      <c r="G18" s="226"/>
      <c r="H18" s="226"/>
      <c r="I18" s="40" t="s">
        <v>113</v>
      </c>
      <c r="J18" s="41" t="s">
        <v>114</v>
      </c>
    </row>
    <row r="19" spans="1:10" ht="16.5" customHeight="1" x14ac:dyDescent="0.25">
      <c r="A19" s="201" t="s">
        <v>115</v>
      </c>
      <c r="B19" s="201"/>
      <c r="C19" s="201"/>
      <c r="D19" s="201"/>
      <c r="E19" s="201"/>
      <c r="F19" s="201"/>
      <c r="G19" s="201"/>
      <c r="H19" s="201"/>
      <c r="I19" s="42" t="s">
        <v>116</v>
      </c>
      <c r="J19" s="43">
        <v>4.0099999999999997E-2</v>
      </c>
    </row>
    <row r="20" spans="1:10" ht="16.5" customHeight="1" x14ac:dyDescent="0.25">
      <c r="A20" s="201" t="s">
        <v>117</v>
      </c>
      <c r="B20" s="201"/>
      <c r="C20" s="201"/>
      <c r="D20" s="201"/>
      <c r="E20" s="201"/>
      <c r="F20" s="201"/>
      <c r="G20" s="201"/>
      <c r="H20" s="201"/>
      <c r="I20" s="42" t="s">
        <v>118</v>
      </c>
      <c r="J20" s="43">
        <v>4.0000000000000001E-3</v>
      </c>
    </row>
    <row r="21" spans="1:10" ht="16.5" customHeight="1" x14ac:dyDescent="0.25">
      <c r="A21" s="201" t="s">
        <v>119</v>
      </c>
      <c r="B21" s="201"/>
      <c r="C21" s="201"/>
      <c r="D21" s="201"/>
      <c r="E21" s="201"/>
      <c r="F21" s="201"/>
      <c r="G21" s="201"/>
      <c r="H21" s="201"/>
      <c r="I21" s="42" t="s">
        <v>120</v>
      </c>
      <c r="J21" s="43">
        <v>5.5999999999999999E-3</v>
      </c>
    </row>
    <row r="22" spans="1:10" ht="16.5" customHeight="1" x14ac:dyDescent="0.25">
      <c r="A22" s="201" t="s">
        <v>121</v>
      </c>
      <c r="B22" s="201"/>
      <c r="C22" s="201"/>
      <c r="D22" s="201"/>
      <c r="E22" s="201"/>
      <c r="F22" s="201"/>
      <c r="G22" s="201"/>
      <c r="H22" s="201"/>
      <c r="I22" s="42" t="s">
        <v>122</v>
      </c>
      <c r="J22" s="43">
        <v>1.11E-2</v>
      </c>
    </row>
    <row r="23" spans="1:10" ht="16.5" customHeight="1" x14ac:dyDescent="0.25">
      <c r="A23" s="201" t="s">
        <v>123</v>
      </c>
      <c r="B23" s="201"/>
      <c r="C23" s="201"/>
      <c r="D23" s="201"/>
      <c r="E23" s="201"/>
      <c r="F23" s="201"/>
      <c r="G23" s="201"/>
      <c r="H23" s="201"/>
      <c r="I23" s="42" t="s">
        <v>124</v>
      </c>
      <c r="J23" s="43">
        <v>7.2999999999999995E-2</v>
      </c>
    </row>
    <row r="24" spans="1:10" ht="16.5" customHeight="1" x14ac:dyDescent="0.25">
      <c r="A24" s="201" t="s">
        <v>125</v>
      </c>
      <c r="B24" s="201"/>
      <c r="C24" s="201"/>
      <c r="D24" s="201"/>
      <c r="E24" s="201"/>
      <c r="F24" s="201"/>
      <c r="G24" s="201"/>
      <c r="H24" s="201"/>
      <c r="I24" s="42" t="s">
        <v>126</v>
      </c>
      <c r="J24" s="43">
        <v>3.6499999999999998E-2</v>
      </c>
    </row>
    <row r="25" spans="1:10" ht="16.5" customHeight="1" x14ac:dyDescent="0.25">
      <c r="A25" s="201" t="s">
        <v>127</v>
      </c>
      <c r="B25" s="201"/>
      <c r="C25" s="201"/>
      <c r="D25" s="201"/>
      <c r="E25" s="201"/>
      <c r="F25" s="201"/>
      <c r="G25" s="201"/>
      <c r="H25" s="201"/>
      <c r="I25" s="42" t="s">
        <v>128</v>
      </c>
      <c r="J25" s="44">
        <f>I11*I10</f>
        <v>4.4999999999999998E-2</v>
      </c>
    </row>
    <row r="26" spans="1:10" ht="16.5" customHeight="1" x14ac:dyDescent="0.25">
      <c r="A26" s="201" t="s">
        <v>129</v>
      </c>
      <c r="B26" s="201"/>
      <c r="C26" s="201"/>
      <c r="D26" s="201"/>
      <c r="E26" s="201"/>
      <c r="F26" s="201"/>
      <c r="G26" s="201"/>
      <c r="H26" s="201"/>
      <c r="I26" s="42" t="s">
        <v>130</v>
      </c>
      <c r="J26" s="44">
        <v>4.4999999999999998E-2</v>
      </c>
    </row>
    <row r="27" spans="1:10" ht="16.5" customHeight="1" x14ac:dyDescent="0.25">
      <c r="A27" s="201" t="s">
        <v>131</v>
      </c>
      <c r="B27" s="201"/>
      <c r="C27" s="201"/>
      <c r="D27" s="201"/>
      <c r="E27" s="201"/>
      <c r="F27" s="201"/>
      <c r="G27" s="201"/>
      <c r="H27" s="201"/>
      <c r="I27" s="45" t="s">
        <v>132</v>
      </c>
      <c r="J27" s="44">
        <f>(((1+J19+J20+J21)*(1+J22)*(1+J23))/(1-(J24+J25)))-1</f>
        <v>0.2399</v>
      </c>
    </row>
    <row r="28" spans="1:10" ht="16.5" customHeight="1" x14ac:dyDescent="0.25">
      <c r="A28" s="202" t="s">
        <v>133</v>
      </c>
      <c r="B28" s="202"/>
      <c r="C28" s="202"/>
      <c r="D28" s="202"/>
      <c r="E28" s="202"/>
      <c r="F28" s="202"/>
      <c r="G28" s="202"/>
      <c r="H28" s="202"/>
      <c r="I28" s="46" t="s">
        <v>134</v>
      </c>
      <c r="J28" s="47">
        <f>(((1+(J19+J20+J21))*(1+J22)*(1+J23))/(1-(J24+J25+J26)))-1</f>
        <v>0.30380000000000001</v>
      </c>
    </row>
    <row r="29" spans="1:10" ht="16.5" customHeight="1" x14ac:dyDescent="0.25">
      <c r="A29" s="223"/>
      <c r="B29" s="224"/>
      <c r="C29" s="224"/>
      <c r="D29" s="224"/>
      <c r="E29" s="224"/>
      <c r="F29" s="224"/>
      <c r="G29" s="224"/>
      <c r="H29" s="224"/>
      <c r="I29" s="224"/>
      <c r="J29" s="225"/>
    </row>
    <row r="30" spans="1:10" ht="16.5" customHeight="1" x14ac:dyDescent="0.25">
      <c r="A30" s="48"/>
      <c r="B30" s="49"/>
      <c r="C30" s="49"/>
      <c r="D30" s="49"/>
      <c r="E30" s="49"/>
      <c r="F30" s="49"/>
      <c r="G30" s="49"/>
      <c r="H30" s="49"/>
      <c r="I30" s="49"/>
      <c r="J30" s="50"/>
    </row>
    <row r="31" spans="1:10" s="51" customFormat="1" ht="16.5" customHeight="1" x14ac:dyDescent="0.25">
      <c r="A31" s="213" t="s">
        <v>135</v>
      </c>
      <c r="B31" s="214"/>
      <c r="C31" s="214"/>
      <c r="D31" s="214"/>
      <c r="E31" s="214"/>
      <c r="F31" s="214"/>
      <c r="G31" s="214"/>
      <c r="H31" s="214"/>
      <c r="I31" s="214"/>
      <c r="J31" s="215"/>
    </row>
    <row r="32" spans="1:10" s="51" customFormat="1" ht="16.5" customHeight="1" x14ac:dyDescent="0.25">
      <c r="A32" s="213"/>
      <c r="B32" s="214"/>
      <c r="C32" s="214"/>
      <c r="D32" s="214"/>
      <c r="E32" s="214"/>
      <c r="F32" s="214"/>
      <c r="G32" s="214"/>
      <c r="H32" s="214"/>
      <c r="I32" s="214"/>
      <c r="J32" s="215"/>
    </row>
    <row r="33" spans="1:10" s="51" customFormat="1" ht="16.5" customHeight="1" x14ac:dyDescent="0.25">
      <c r="A33" s="213"/>
      <c r="B33" s="214"/>
      <c r="C33" s="214"/>
      <c r="D33" s="214"/>
      <c r="E33" s="214"/>
      <c r="F33" s="214"/>
      <c r="G33" s="214"/>
      <c r="H33" s="214"/>
      <c r="I33" s="214"/>
      <c r="J33" s="215"/>
    </row>
    <row r="34" spans="1:10" s="51" customFormat="1" ht="16.5" customHeight="1" x14ac:dyDescent="0.25">
      <c r="A34" s="213"/>
      <c r="B34" s="214"/>
      <c r="C34" s="214"/>
      <c r="D34" s="214"/>
      <c r="E34" s="214"/>
      <c r="F34" s="214"/>
      <c r="G34" s="214"/>
      <c r="H34" s="214"/>
      <c r="I34" s="214"/>
      <c r="J34" s="215"/>
    </row>
    <row r="35" spans="1:10" s="51" customFormat="1" ht="16.5" customHeight="1" x14ac:dyDescent="0.25">
      <c r="A35" s="216"/>
      <c r="B35" s="217"/>
      <c r="C35" s="217"/>
      <c r="D35" s="217"/>
      <c r="E35" s="217"/>
      <c r="F35" s="217"/>
      <c r="G35" s="217"/>
      <c r="H35" s="217"/>
      <c r="I35" s="217"/>
      <c r="J35" s="218"/>
    </row>
    <row r="36" spans="1:10" ht="16.5" customHeight="1" x14ac:dyDescent="0.25">
      <c r="A36" s="219"/>
      <c r="B36" s="220"/>
      <c r="C36" s="220"/>
      <c r="D36" s="220"/>
      <c r="E36" s="220"/>
      <c r="F36" s="220"/>
      <c r="G36" s="220"/>
      <c r="H36" s="220"/>
      <c r="I36" s="220"/>
      <c r="J36" s="221"/>
    </row>
    <row r="37" spans="1:10" ht="16.5" customHeight="1" x14ac:dyDescent="0.25">
      <c r="A37" s="222" t="s">
        <v>136</v>
      </c>
      <c r="B37" s="222"/>
      <c r="C37" s="222"/>
      <c r="D37" s="222"/>
      <c r="E37" s="222"/>
      <c r="F37" s="222"/>
      <c r="G37" s="222"/>
      <c r="H37" s="222"/>
      <c r="I37" s="222"/>
      <c r="J37" s="222"/>
    </row>
    <row r="38" spans="1:10" ht="16.5" customHeight="1" x14ac:dyDescent="0.25">
      <c r="A38" s="222"/>
      <c r="B38" s="222"/>
      <c r="C38" s="222"/>
      <c r="D38" s="222"/>
      <c r="E38" s="222"/>
      <c r="F38" s="222"/>
      <c r="G38" s="222"/>
      <c r="H38" s="222"/>
      <c r="I38" s="222"/>
      <c r="J38" s="222"/>
    </row>
    <row r="39" spans="1:10" ht="16.5" customHeight="1" x14ac:dyDescent="0.25">
      <c r="A39" s="222"/>
      <c r="B39" s="222"/>
      <c r="C39" s="222"/>
      <c r="D39" s="222"/>
      <c r="E39" s="222"/>
      <c r="F39" s="222"/>
      <c r="G39" s="222"/>
      <c r="H39" s="222"/>
      <c r="I39" s="222"/>
      <c r="J39" s="222"/>
    </row>
    <row r="40" spans="1:10" ht="16.5" customHeight="1" x14ac:dyDescent="0.2">
      <c r="A40" s="206"/>
      <c r="B40" s="207"/>
      <c r="C40" s="207"/>
      <c r="D40" s="207"/>
      <c r="E40" s="207"/>
      <c r="F40" s="207"/>
      <c r="G40" s="207"/>
      <c r="H40" s="207"/>
      <c r="I40" s="207"/>
      <c r="J40" s="208"/>
    </row>
    <row r="41" spans="1:10" ht="16.5" customHeight="1" x14ac:dyDescent="0.25">
      <c r="A41" s="222" t="s">
        <v>137</v>
      </c>
      <c r="B41" s="222"/>
      <c r="C41" s="222"/>
      <c r="D41" s="222"/>
      <c r="E41" s="222"/>
      <c r="F41" s="222"/>
      <c r="G41" s="222"/>
      <c r="H41" s="222"/>
      <c r="I41" s="222"/>
      <c r="J41" s="222"/>
    </row>
    <row r="42" spans="1:10" ht="16.5" customHeight="1" x14ac:dyDescent="0.25">
      <c r="A42" s="222"/>
      <c r="B42" s="222"/>
      <c r="C42" s="222"/>
      <c r="D42" s="222"/>
      <c r="E42" s="222"/>
      <c r="F42" s="222"/>
      <c r="G42" s="222"/>
      <c r="H42" s="222"/>
      <c r="I42" s="222"/>
      <c r="J42" s="222"/>
    </row>
    <row r="43" spans="1:10" ht="16.5" customHeight="1" x14ac:dyDescent="0.25">
      <c r="A43" s="222"/>
      <c r="B43" s="222"/>
      <c r="C43" s="222"/>
      <c r="D43" s="222"/>
      <c r="E43" s="222"/>
      <c r="F43" s="222"/>
      <c r="G43" s="222"/>
      <c r="H43" s="222"/>
      <c r="I43" s="222"/>
      <c r="J43" s="222"/>
    </row>
    <row r="44" spans="1:10" ht="16.5" customHeight="1" x14ac:dyDescent="0.2">
      <c r="A44" s="206"/>
      <c r="B44" s="207"/>
      <c r="C44" s="207"/>
      <c r="D44" s="207"/>
      <c r="E44" s="207"/>
      <c r="F44" s="207"/>
      <c r="G44" s="207"/>
      <c r="H44" s="207"/>
      <c r="I44" s="207"/>
      <c r="J44" s="208"/>
    </row>
    <row r="45" spans="1:10" ht="16.5" customHeight="1" x14ac:dyDescent="0.2">
      <c r="A45" s="209" t="s">
        <v>25</v>
      </c>
      <c r="B45" s="210"/>
      <c r="C45" s="210"/>
      <c r="D45" s="210"/>
      <c r="E45" s="210"/>
      <c r="F45" s="210"/>
      <c r="G45" s="210"/>
      <c r="H45" s="210"/>
      <c r="I45" s="210"/>
      <c r="J45" s="211"/>
    </row>
    <row r="46" spans="1:10" ht="16.5" customHeight="1" x14ac:dyDescent="0.25">
      <c r="A46" s="212"/>
      <c r="B46" s="212"/>
      <c r="C46" s="212"/>
      <c r="D46" s="212"/>
      <c r="E46" s="212"/>
      <c r="F46" s="212"/>
      <c r="G46" s="212"/>
      <c r="H46" s="212"/>
      <c r="I46" s="212"/>
      <c r="J46" s="212"/>
    </row>
    <row r="47" spans="1:10" ht="16.5" customHeight="1" x14ac:dyDescent="0.25">
      <c r="A47" s="212"/>
      <c r="B47" s="212"/>
      <c r="C47" s="212"/>
      <c r="D47" s="212"/>
      <c r="E47" s="212"/>
      <c r="F47" s="212"/>
      <c r="G47" s="212"/>
      <c r="H47" s="212"/>
      <c r="I47" s="212"/>
      <c r="J47" s="212"/>
    </row>
    <row r="48" spans="1:10" ht="16.5" customHeight="1" x14ac:dyDescent="0.25">
      <c r="A48" s="212"/>
      <c r="B48" s="212"/>
      <c r="C48" s="212"/>
      <c r="D48" s="212"/>
      <c r="E48" s="212"/>
      <c r="F48" s="212"/>
      <c r="G48" s="212"/>
      <c r="H48" s="212"/>
      <c r="I48" s="212"/>
      <c r="J48" s="212"/>
    </row>
    <row r="49" spans="1:10" ht="16.5" customHeight="1" x14ac:dyDescent="0.25">
      <c r="A49" s="212"/>
      <c r="B49" s="212"/>
      <c r="C49" s="212"/>
      <c r="D49" s="212"/>
      <c r="E49" s="212"/>
      <c r="F49" s="212"/>
      <c r="G49" s="212"/>
      <c r="H49" s="212"/>
      <c r="I49" s="212"/>
      <c r="J49" s="212"/>
    </row>
    <row r="50" spans="1:10" ht="16.5" customHeight="1" x14ac:dyDescent="0.25">
      <c r="A50" s="203" t="s">
        <v>248</v>
      </c>
      <c r="B50" s="203"/>
      <c r="C50" s="203"/>
      <c r="D50" s="203"/>
      <c r="E50" s="203"/>
      <c r="F50" s="203"/>
      <c r="G50" s="203"/>
      <c r="H50" s="203"/>
      <c r="I50" s="203"/>
      <c r="J50" s="203"/>
    </row>
    <row r="51" spans="1:10" ht="16.5" customHeight="1" x14ac:dyDescent="0.25">
      <c r="A51" s="203"/>
      <c r="B51" s="203"/>
      <c r="C51" s="203"/>
      <c r="D51" s="203"/>
      <c r="E51" s="203"/>
      <c r="F51" s="203"/>
      <c r="G51" s="203"/>
      <c r="H51" s="203"/>
      <c r="I51" s="203"/>
      <c r="J51" s="203"/>
    </row>
    <row r="52" spans="1:10" ht="16.5" customHeight="1" x14ac:dyDescent="0.25">
      <c r="A52" s="203"/>
      <c r="B52" s="203"/>
      <c r="C52" s="203"/>
      <c r="D52" s="203"/>
      <c r="E52" s="203"/>
      <c r="F52" s="203"/>
      <c r="G52" s="203"/>
      <c r="H52" s="203"/>
      <c r="I52" s="203"/>
      <c r="J52" s="203"/>
    </row>
    <row r="53" spans="1:10" ht="16.5" customHeight="1" x14ac:dyDescent="0.25">
      <c r="A53" s="203"/>
      <c r="B53" s="203"/>
      <c r="C53" s="203"/>
      <c r="D53" s="203"/>
      <c r="E53" s="203"/>
      <c r="F53" s="203"/>
      <c r="G53" s="203"/>
      <c r="H53" s="203"/>
      <c r="I53" s="203"/>
      <c r="J53" s="203"/>
    </row>
    <row r="54" spans="1:10" ht="16.5" customHeight="1" x14ac:dyDescent="0.25">
      <c r="A54" s="203"/>
      <c r="B54" s="203"/>
      <c r="C54" s="203"/>
      <c r="D54" s="203"/>
      <c r="E54" s="203"/>
      <c r="F54" s="203"/>
      <c r="G54" s="203"/>
      <c r="H54" s="203"/>
      <c r="I54" s="203"/>
      <c r="J54" s="203"/>
    </row>
  </sheetData>
  <mergeCells count="42">
    <mergeCell ref="A50:J54"/>
    <mergeCell ref="A6:A7"/>
    <mergeCell ref="B6:F7"/>
    <mergeCell ref="G6:H6"/>
    <mergeCell ref="G7:H7"/>
    <mergeCell ref="A44:J44"/>
    <mergeCell ref="A45:J45"/>
    <mergeCell ref="A46:J49"/>
    <mergeCell ref="A31:J31"/>
    <mergeCell ref="A32:J35"/>
    <mergeCell ref="A36:J36"/>
    <mergeCell ref="A37:J39"/>
    <mergeCell ref="A40:J40"/>
    <mergeCell ref="A41:J43"/>
    <mergeCell ref="A29:J29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1:J3"/>
    <mergeCell ref="A4:J4"/>
    <mergeCell ref="A5:J5"/>
    <mergeCell ref="J6:J7"/>
    <mergeCell ref="A17:J17"/>
    <mergeCell ref="A8:J8"/>
    <mergeCell ref="A9:J9"/>
    <mergeCell ref="A10:H10"/>
    <mergeCell ref="I10:J10"/>
    <mergeCell ref="A11:H11"/>
    <mergeCell ref="I11:J11"/>
    <mergeCell ref="A12:J12"/>
    <mergeCell ref="A13:J13"/>
    <mergeCell ref="A14:J14"/>
    <mergeCell ref="A15:J15"/>
    <mergeCell ref="A16:J16"/>
  </mergeCells>
  <pageMargins left="0.511811024" right="0.511811024" top="0.78740157499999996" bottom="0.78740157499999996" header="0.31496062000000002" footer="0.31496062000000002"/>
  <pageSetup paperSize="9" scale="56" orientation="portrait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36"/>
  <sheetViews>
    <sheetView tabSelected="1" view="pageBreakPreview" zoomScaleNormal="100" zoomScaleSheetLayoutView="100" workbookViewId="0">
      <selection activeCell="H15" sqref="H15"/>
    </sheetView>
  </sheetViews>
  <sheetFormatPr defaultRowHeight="21" customHeight="1" outlineLevelRow="1" x14ac:dyDescent="0.25"/>
  <cols>
    <col min="1" max="1" width="7.7109375" style="13" customWidth="1"/>
    <col min="2" max="2" width="23.85546875" style="13" customWidth="1"/>
    <col min="3" max="4" width="11.7109375" style="13" customWidth="1"/>
    <col min="5" max="5" width="12.7109375" style="13" customWidth="1"/>
    <col min="6" max="16" width="11.7109375" style="13" customWidth="1"/>
    <col min="17" max="17" width="9.140625" style="13"/>
    <col min="18" max="20" width="12.7109375" style="13" customWidth="1"/>
    <col min="21" max="16384" width="9.140625" style="13"/>
  </cols>
  <sheetData>
    <row r="1" spans="1:22" ht="16.5" customHeight="1" x14ac:dyDescent="0.25">
      <c r="A1" s="109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9"/>
      <c r="R1" s="19"/>
      <c r="S1" s="19"/>
      <c r="T1" s="19"/>
      <c r="U1" s="19"/>
      <c r="V1" s="19"/>
    </row>
    <row r="2" spans="1:22" ht="16.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9"/>
      <c r="R2" s="19"/>
      <c r="S2" s="19"/>
      <c r="T2" s="19"/>
      <c r="U2" s="19"/>
      <c r="V2" s="19"/>
    </row>
    <row r="3" spans="1:22" ht="16.5" customHeight="1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9"/>
      <c r="R3" s="19"/>
      <c r="S3" s="19"/>
      <c r="T3" s="19"/>
      <c r="U3" s="19"/>
      <c r="V3" s="19"/>
    </row>
    <row r="4" spans="1:22" ht="20.100000000000001" customHeight="1" x14ac:dyDescent="0.25">
      <c r="A4" s="229" t="s">
        <v>329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19"/>
      <c r="R4" s="19"/>
      <c r="S4" s="19"/>
      <c r="T4" s="19"/>
      <c r="U4" s="19"/>
      <c r="V4" s="19"/>
    </row>
    <row r="5" spans="1:22" ht="20.100000000000001" customHeight="1" x14ac:dyDescent="0.25">
      <c r="A5" s="230" t="str">
        <f>'Plan. Orçamentária'!A5:J5</f>
        <v>Setor requisitante: Secretaria Municipal de Obras e Serviços Urbanos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2"/>
      <c r="Q5" s="19"/>
      <c r="R5" s="19"/>
      <c r="S5" s="19"/>
      <c r="T5" s="19"/>
      <c r="U5" s="19"/>
      <c r="V5" s="19"/>
    </row>
    <row r="6" spans="1:22" ht="20.100000000000001" customHeight="1" x14ac:dyDescent="0.25">
      <c r="A6" s="110" t="str">
        <f>'Plan. Orçamentária'!A6:B7</f>
        <v>Objeto:</v>
      </c>
      <c r="B6" s="169" t="str">
        <f>'Plan. Orçamentária'!C6</f>
        <v>Pavimentação de via em piso de concreto pré-moldado intertravado, tipo Pavi-s - Rua Artur de Araújo, bairro São José - Nova Era/MG              Convênio SICONV Nº 920268/2021, Operação Nº 1079841-34</v>
      </c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18" t="str">
        <f>'Plan. Orçamentária'!H6:H7</f>
        <v>BDI:</v>
      </c>
      <c r="O6" s="170">
        <f>'Plan. Orçamentária'!I6:I7</f>
        <v>0.30380000000000001</v>
      </c>
      <c r="P6" s="171" t="str">
        <f>'Plan. Orçamentária'!J6:J7</f>
        <v>30//08/2022</v>
      </c>
      <c r="Q6" s="19"/>
      <c r="R6" s="19"/>
      <c r="S6" s="19"/>
      <c r="T6" s="19"/>
      <c r="U6" s="19"/>
      <c r="V6" s="19"/>
    </row>
    <row r="7" spans="1:22" ht="20.100000000000001" customHeight="1" x14ac:dyDescent="0.25">
      <c r="A7" s="110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18"/>
      <c r="O7" s="170"/>
      <c r="P7" s="171"/>
      <c r="Q7" s="19"/>
      <c r="R7" s="19"/>
      <c r="S7" s="19"/>
      <c r="T7" s="19"/>
      <c r="U7" s="19"/>
      <c r="V7" s="19"/>
    </row>
    <row r="8" spans="1:22" ht="20.100000000000001" customHeight="1" x14ac:dyDescent="0.25">
      <c r="A8" s="108" t="s">
        <v>54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9"/>
      <c r="R8" s="19"/>
      <c r="S8" s="19"/>
      <c r="T8" s="19"/>
      <c r="U8" s="19"/>
      <c r="V8" s="19"/>
    </row>
    <row r="9" spans="1:22" ht="20.100000000000001" customHeight="1" x14ac:dyDescent="0.25">
      <c r="A9" s="233" t="s">
        <v>55</v>
      </c>
      <c r="B9" s="234" t="s">
        <v>315</v>
      </c>
      <c r="C9" s="234"/>
      <c r="D9" s="234"/>
      <c r="E9" s="234" t="s">
        <v>56</v>
      </c>
      <c r="F9" s="234" t="s">
        <v>57</v>
      </c>
      <c r="G9" s="234" t="s">
        <v>58</v>
      </c>
      <c r="H9" s="234" t="s">
        <v>59</v>
      </c>
      <c r="I9" s="234" t="s">
        <v>60</v>
      </c>
      <c r="J9" s="234" t="s">
        <v>61</v>
      </c>
      <c r="K9" s="234" t="s">
        <v>62</v>
      </c>
      <c r="L9" s="234" t="s">
        <v>63</v>
      </c>
      <c r="M9" s="234" t="s">
        <v>64</v>
      </c>
      <c r="N9" s="234" t="s">
        <v>65</v>
      </c>
      <c r="O9" s="234" t="s">
        <v>66</v>
      </c>
      <c r="P9" s="233" t="s">
        <v>67</v>
      </c>
      <c r="Q9" s="19"/>
      <c r="R9" s="19"/>
      <c r="S9" s="19"/>
      <c r="T9" s="19"/>
      <c r="U9" s="19"/>
      <c r="V9" s="19"/>
    </row>
    <row r="10" spans="1:22" ht="20.100000000000001" customHeight="1" x14ac:dyDescent="0.25">
      <c r="A10" s="233"/>
      <c r="B10" s="234"/>
      <c r="C10" s="234"/>
      <c r="D10" s="234"/>
      <c r="E10" s="234"/>
      <c r="F10" s="234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19"/>
      <c r="R10" s="19"/>
      <c r="S10" s="19"/>
      <c r="T10" s="19"/>
      <c r="U10" s="19"/>
      <c r="V10" s="19"/>
    </row>
    <row r="11" spans="1:22" ht="16.5" customHeight="1" outlineLevel="1" x14ac:dyDescent="0.25">
      <c r="A11" s="228">
        <v>1</v>
      </c>
      <c r="B11" s="227" t="s">
        <v>317</v>
      </c>
      <c r="C11" s="227"/>
      <c r="D11" s="227"/>
      <c r="E11" s="26" t="s">
        <v>68</v>
      </c>
      <c r="F11" s="27">
        <v>1</v>
      </c>
      <c r="G11" s="27" t="e">
        <f t="shared" ref="G11:I33" si="0">G12/$F12</f>
        <v>#DIV/0!</v>
      </c>
      <c r="H11" s="27">
        <v>0</v>
      </c>
      <c r="I11" s="27">
        <v>0</v>
      </c>
      <c r="J11" s="22"/>
      <c r="K11" s="22"/>
      <c r="L11" s="22"/>
      <c r="M11" s="22"/>
      <c r="N11" s="22"/>
      <c r="O11" s="22"/>
      <c r="P11" s="22"/>
      <c r="Q11" s="19"/>
      <c r="R11" s="78"/>
      <c r="S11" s="12"/>
      <c r="T11" s="79"/>
      <c r="U11" s="19"/>
      <c r="V11" s="19"/>
    </row>
    <row r="12" spans="1:22" ht="13.5" customHeight="1" outlineLevel="1" x14ac:dyDescent="0.25">
      <c r="A12" s="228"/>
      <c r="B12" s="227"/>
      <c r="C12" s="227"/>
      <c r="D12" s="227"/>
      <c r="E12" s="20" t="s">
        <v>69</v>
      </c>
      <c r="F12" s="5">
        <f>'Plan. Orçamentária'!J11</f>
        <v>0</v>
      </c>
      <c r="G12" s="21">
        <v>1737.98</v>
      </c>
      <c r="H12" s="21">
        <f t="shared" ref="H12:I12" si="1">$F$12*H11</f>
        <v>0</v>
      </c>
      <c r="I12" s="21">
        <f t="shared" si="1"/>
        <v>0</v>
      </c>
      <c r="J12" s="22"/>
      <c r="K12" s="22"/>
      <c r="L12" s="22"/>
      <c r="M12" s="22"/>
      <c r="N12" s="22"/>
      <c r="O12" s="22"/>
      <c r="P12" s="22"/>
      <c r="Q12" s="19"/>
      <c r="R12" s="75">
        <f>F12</f>
        <v>0</v>
      </c>
      <c r="S12" s="76">
        <f>SUM(G12:I12)</f>
        <v>1737.98</v>
      </c>
      <c r="T12" s="77">
        <f>R12-S12</f>
        <v>-1737.98</v>
      </c>
      <c r="U12" s="19"/>
      <c r="V12" s="19"/>
    </row>
    <row r="13" spans="1:22" ht="20.100000000000001" customHeight="1" outlineLevel="1" x14ac:dyDescent="0.25">
      <c r="A13" s="228">
        <v>2</v>
      </c>
      <c r="B13" s="227" t="s">
        <v>318</v>
      </c>
      <c r="C13" s="227"/>
      <c r="D13" s="227"/>
      <c r="E13" s="26" t="s">
        <v>68</v>
      </c>
      <c r="F13" s="27">
        <v>1</v>
      </c>
      <c r="G13" s="27" t="e">
        <f t="shared" si="0"/>
        <v>#DIV/0!</v>
      </c>
      <c r="H13" s="27" t="e">
        <f t="shared" si="0"/>
        <v>#DIV/0!</v>
      </c>
      <c r="I13" s="27" t="e">
        <f t="shared" si="0"/>
        <v>#DIV/0!</v>
      </c>
      <c r="J13" s="22"/>
      <c r="K13" s="22"/>
      <c r="L13" s="22"/>
      <c r="M13" s="22"/>
      <c r="N13" s="22"/>
      <c r="O13" s="22"/>
      <c r="P13" s="22"/>
      <c r="Q13" s="19"/>
      <c r="R13" s="78"/>
      <c r="S13" s="12"/>
      <c r="T13" s="77"/>
      <c r="U13" s="19"/>
      <c r="V13" s="19"/>
    </row>
    <row r="14" spans="1:22" ht="20.100000000000001" customHeight="1" outlineLevel="1" x14ac:dyDescent="0.25">
      <c r="A14" s="228"/>
      <c r="B14" s="227"/>
      <c r="C14" s="227"/>
      <c r="D14" s="227"/>
      <c r="E14" s="20" t="s">
        <v>69</v>
      </c>
      <c r="F14" s="5">
        <f>'Plan. Orçamentária'!J12</f>
        <v>0</v>
      </c>
      <c r="G14" s="21">
        <v>0</v>
      </c>
      <c r="H14" s="21">
        <v>0</v>
      </c>
      <c r="I14" s="21">
        <v>744.85</v>
      </c>
      <c r="J14" s="22"/>
      <c r="K14" s="22"/>
      <c r="L14" s="22"/>
      <c r="M14" s="22"/>
      <c r="N14" s="22"/>
      <c r="O14" s="22"/>
      <c r="P14" s="22"/>
      <c r="Q14" s="19"/>
      <c r="R14" s="80">
        <f>F14</f>
        <v>0</v>
      </c>
      <c r="S14" s="81">
        <f>SUM(G14:I14)</f>
        <v>744.85</v>
      </c>
      <c r="T14" s="82">
        <f>R14-S14</f>
        <v>-744.85</v>
      </c>
      <c r="U14" s="19"/>
      <c r="V14" s="19"/>
    </row>
    <row r="15" spans="1:22" ht="20.100000000000001" customHeight="1" x14ac:dyDescent="0.25">
      <c r="A15" s="228">
        <v>3</v>
      </c>
      <c r="B15" s="227" t="s">
        <v>319</v>
      </c>
      <c r="C15" s="227"/>
      <c r="D15" s="227"/>
      <c r="E15" s="26" t="s">
        <v>68</v>
      </c>
      <c r="F15" s="27">
        <v>1</v>
      </c>
      <c r="G15" s="27" t="e">
        <f t="shared" si="0"/>
        <v>#DIV/0!</v>
      </c>
      <c r="H15" s="27" t="e">
        <f t="shared" si="0"/>
        <v>#DIV/0!</v>
      </c>
      <c r="I15" s="27" t="e">
        <f t="shared" si="0"/>
        <v>#DIV/0!</v>
      </c>
      <c r="J15" s="22"/>
      <c r="K15" s="22"/>
      <c r="L15" s="22"/>
      <c r="M15" s="22"/>
      <c r="N15" s="22"/>
      <c r="O15" s="22"/>
      <c r="P15" s="22"/>
      <c r="Q15" s="19"/>
      <c r="R15" s="75"/>
      <c r="S15" s="76"/>
      <c r="T15" s="77"/>
      <c r="U15" s="19"/>
      <c r="V15" s="19"/>
    </row>
    <row r="16" spans="1:22" ht="20.100000000000001" customHeight="1" x14ac:dyDescent="0.25">
      <c r="A16" s="228"/>
      <c r="B16" s="227"/>
      <c r="C16" s="227"/>
      <c r="D16" s="227"/>
      <c r="E16" s="20" t="s">
        <v>69</v>
      </c>
      <c r="F16" s="5">
        <f>'Plan. Orçamentária'!J23</f>
        <v>0</v>
      </c>
      <c r="G16" s="21">
        <v>0</v>
      </c>
      <c r="H16" s="21">
        <v>0</v>
      </c>
      <c r="I16" s="21">
        <v>18259.55</v>
      </c>
      <c r="J16" s="22"/>
      <c r="K16" s="22"/>
      <c r="L16" s="22"/>
      <c r="M16" s="22"/>
      <c r="N16" s="22"/>
      <c r="O16" s="22"/>
      <c r="P16" s="22"/>
      <c r="Q16" s="19"/>
      <c r="R16" s="75">
        <f>F16</f>
        <v>0</v>
      </c>
      <c r="S16" s="76">
        <f>SUM(G16:I16)</f>
        <v>18259.55</v>
      </c>
      <c r="T16" s="77">
        <f>R16-S16</f>
        <v>-18259.55</v>
      </c>
      <c r="U16" s="19"/>
      <c r="V16" s="19"/>
    </row>
    <row r="17" spans="1:22" ht="20.100000000000001" customHeight="1" x14ac:dyDescent="0.25">
      <c r="A17" s="228">
        <v>4</v>
      </c>
      <c r="B17" s="227" t="s">
        <v>91</v>
      </c>
      <c r="C17" s="227"/>
      <c r="D17" s="227"/>
      <c r="E17" s="26" t="s">
        <v>68</v>
      </c>
      <c r="F17" s="27">
        <v>1</v>
      </c>
      <c r="G17" s="27" t="e">
        <f t="shared" si="0"/>
        <v>#DIV/0!</v>
      </c>
      <c r="H17" s="27">
        <v>0.33329999999999999</v>
      </c>
      <c r="I17" s="27">
        <v>0.33339999999999997</v>
      </c>
      <c r="J17" s="22"/>
      <c r="K17" s="22"/>
      <c r="L17" s="22"/>
      <c r="M17" s="22"/>
      <c r="N17" s="22"/>
      <c r="O17" s="22"/>
      <c r="P17" s="22"/>
      <c r="Q17" s="19"/>
      <c r="R17" s="75"/>
      <c r="S17" s="76"/>
      <c r="T17" s="77"/>
      <c r="U17" s="19"/>
      <c r="V17" s="19"/>
    </row>
    <row r="18" spans="1:22" ht="20.100000000000001" customHeight="1" x14ac:dyDescent="0.25">
      <c r="A18" s="228"/>
      <c r="B18" s="227"/>
      <c r="C18" s="227"/>
      <c r="D18" s="227"/>
      <c r="E18" s="20" t="s">
        <v>69</v>
      </c>
      <c r="F18" s="5">
        <f>'Plan. Orçamentária'!J27</f>
        <v>0</v>
      </c>
      <c r="G18" s="21">
        <v>3307.87</v>
      </c>
      <c r="H18" s="21">
        <v>0</v>
      </c>
      <c r="I18" s="21">
        <v>0</v>
      </c>
      <c r="J18" s="22"/>
      <c r="K18" s="22"/>
      <c r="L18" s="22"/>
      <c r="M18" s="22"/>
      <c r="N18" s="22"/>
      <c r="O18" s="22"/>
      <c r="P18" s="22"/>
      <c r="Q18" s="19"/>
      <c r="R18" s="75">
        <f>F18</f>
        <v>0</v>
      </c>
      <c r="S18" s="76">
        <f>SUM(G18:I18)</f>
        <v>3307.87</v>
      </c>
      <c r="T18" s="77">
        <f>R18-S18</f>
        <v>-3307.87</v>
      </c>
      <c r="U18" s="19"/>
      <c r="V18" s="19"/>
    </row>
    <row r="19" spans="1:22" ht="20.100000000000001" customHeight="1" x14ac:dyDescent="0.25">
      <c r="A19" s="228">
        <v>5</v>
      </c>
      <c r="B19" s="227" t="s">
        <v>320</v>
      </c>
      <c r="C19" s="227"/>
      <c r="D19" s="227"/>
      <c r="E19" s="26" t="s">
        <v>68</v>
      </c>
      <c r="F19" s="27">
        <v>1</v>
      </c>
      <c r="G19" s="27" t="e">
        <f t="shared" si="0"/>
        <v>#DIV/0!</v>
      </c>
      <c r="H19" s="27" t="e">
        <f t="shared" si="0"/>
        <v>#DIV/0!</v>
      </c>
      <c r="I19" s="27" t="e">
        <f t="shared" si="0"/>
        <v>#DIV/0!</v>
      </c>
      <c r="J19" s="22"/>
      <c r="K19" s="22"/>
      <c r="L19" s="22"/>
      <c r="M19" s="22"/>
      <c r="N19" s="22"/>
      <c r="O19" s="22"/>
      <c r="P19" s="22"/>
      <c r="Q19" s="19"/>
      <c r="R19" s="75"/>
      <c r="S19" s="76"/>
      <c r="T19" s="77"/>
      <c r="U19" s="19"/>
      <c r="V19" s="19"/>
    </row>
    <row r="20" spans="1:22" ht="20.100000000000001" customHeight="1" x14ac:dyDescent="0.25">
      <c r="A20" s="228"/>
      <c r="B20" s="227"/>
      <c r="C20" s="227"/>
      <c r="D20" s="227"/>
      <c r="E20" s="20" t="s">
        <v>69</v>
      </c>
      <c r="F20" s="5">
        <f>'Plan. Orçamentária'!J29+'Plan. Orçamentária'!J30+'Plan. Orçamentária'!J31+'Plan. Orçamentária'!J32+'Plan. Orçamentária'!J33+'Plan. Orçamentária'!J34</f>
        <v>0</v>
      </c>
      <c r="G20" s="21">
        <v>0</v>
      </c>
      <c r="H20" s="21">
        <v>83275.38</v>
      </c>
      <c r="I20" s="21">
        <v>0</v>
      </c>
      <c r="J20" s="22"/>
      <c r="K20" s="22"/>
      <c r="L20" s="22"/>
      <c r="M20" s="22"/>
      <c r="N20" s="22"/>
      <c r="O20" s="22"/>
      <c r="P20" s="22"/>
      <c r="Q20" s="19"/>
      <c r="R20" s="75">
        <f>F20</f>
        <v>0</v>
      </c>
      <c r="S20" s="76">
        <f>SUM(G20:I20)</f>
        <v>83275.38</v>
      </c>
      <c r="T20" s="77">
        <f>R20-S20</f>
        <v>-83275.38</v>
      </c>
      <c r="U20" s="19"/>
      <c r="V20" s="19"/>
    </row>
    <row r="21" spans="1:22" ht="20.100000000000001" customHeight="1" x14ac:dyDescent="0.25">
      <c r="A21" s="228">
        <v>6</v>
      </c>
      <c r="B21" s="227" t="s">
        <v>321</v>
      </c>
      <c r="C21" s="227"/>
      <c r="D21" s="227"/>
      <c r="E21" s="26" t="s">
        <v>68</v>
      </c>
      <c r="F21" s="27">
        <v>1</v>
      </c>
      <c r="G21" s="27" t="e">
        <f t="shared" si="0"/>
        <v>#DIV/0!</v>
      </c>
      <c r="H21" s="27" t="e">
        <f t="shared" si="0"/>
        <v>#DIV/0!</v>
      </c>
      <c r="I21" s="27" t="e">
        <f t="shared" si="0"/>
        <v>#DIV/0!</v>
      </c>
      <c r="J21" s="22"/>
      <c r="K21" s="22"/>
      <c r="L21" s="22"/>
      <c r="M21" s="22"/>
      <c r="N21" s="22"/>
      <c r="O21" s="22"/>
      <c r="P21" s="22"/>
      <c r="Q21" s="19"/>
      <c r="R21" s="75"/>
      <c r="S21" s="76"/>
      <c r="T21" s="77"/>
      <c r="U21" s="19"/>
      <c r="V21" s="19"/>
    </row>
    <row r="22" spans="1:22" ht="20.100000000000001" customHeight="1" x14ac:dyDescent="0.25">
      <c r="A22" s="228"/>
      <c r="B22" s="227"/>
      <c r="C22" s="227"/>
      <c r="D22" s="227"/>
      <c r="E22" s="20" t="s">
        <v>69</v>
      </c>
      <c r="F22" s="5">
        <f>'Plan. Orçamentária'!J35+'Plan. Orçamentária'!J36+'Plan. Orçamentária'!J37+'Plan. Orçamentária'!J38+'Plan. Orçamentária'!J39</f>
        <v>0</v>
      </c>
      <c r="G22" s="21">
        <v>0</v>
      </c>
      <c r="H22" s="21">
        <v>70205.86</v>
      </c>
      <c r="I22" s="21">
        <v>0</v>
      </c>
      <c r="J22" s="22"/>
      <c r="K22" s="22"/>
      <c r="L22" s="22"/>
      <c r="M22" s="22"/>
      <c r="N22" s="22"/>
      <c r="O22" s="22"/>
      <c r="P22" s="22"/>
      <c r="Q22" s="19"/>
      <c r="R22" s="80">
        <f>F22</f>
        <v>0</v>
      </c>
      <c r="S22" s="81">
        <f>SUM(G22:I22)</f>
        <v>70205.86</v>
      </c>
      <c r="T22" s="82">
        <f>R22-S22</f>
        <v>-70205.86</v>
      </c>
      <c r="U22" s="19"/>
      <c r="V22" s="19"/>
    </row>
    <row r="23" spans="1:22" ht="20.100000000000001" customHeight="1" outlineLevel="1" x14ac:dyDescent="0.25">
      <c r="A23" s="228">
        <v>7</v>
      </c>
      <c r="B23" s="227" t="s">
        <v>322</v>
      </c>
      <c r="C23" s="227"/>
      <c r="D23" s="227"/>
      <c r="E23" s="26" t="s">
        <v>68</v>
      </c>
      <c r="F23" s="27">
        <v>1</v>
      </c>
      <c r="G23" s="27" t="e">
        <f t="shared" si="0"/>
        <v>#DIV/0!</v>
      </c>
      <c r="H23" s="27" t="e">
        <f t="shared" si="0"/>
        <v>#DIV/0!</v>
      </c>
      <c r="I23" s="27" t="e">
        <f t="shared" si="0"/>
        <v>#DIV/0!</v>
      </c>
      <c r="J23" s="22"/>
      <c r="K23" s="22"/>
      <c r="L23" s="22"/>
      <c r="M23" s="22"/>
      <c r="N23" s="22"/>
      <c r="O23" s="22"/>
      <c r="P23" s="22"/>
      <c r="Q23" s="19"/>
      <c r="R23" s="75"/>
      <c r="S23" s="76"/>
      <c r="T23" s="77"/>
      <c r="U23" s="19"/>
      <c r="V23" s="19"/>
    </row>
    <row r="24" spans="1:22" ht="20.100000000000001" customHeight="1" outlineLevel="1" x14ac:dyDescent="0.25">
      <c r="A24" s="228"/>
      <c r="B24" s="227"/>
      <c r="C24" s="227"/>
      <c r="D24" s="227"/>
      <c r="E24" s="20" t="s">
        <v>69</v>
      </c>
      <c r="F24" s="5">
        <f>'Plan. Orçamentária'!J42+'Plan. Orçamentária'!J43+'Plan. Orçamentária'!J44</f>
        <v>0</v>
      </c>
      <c r="G24" s="21">
        <v>40097.730000000003</v>
      </c>
      <c r="H24" s="21">
        <v>0</v>
      </c>
      <c r="I24" s="21">
        <v>0</v>
      </c>
      <c r="J24" s="22"/>
      <c r="K24" s="22"/>
      <c r="L24" s="22"/>
      <c r="M24" s="22"/>
      <c r="N24" s="22"/>
      <c r="O24" s="22"/>
      <c r="P24" s="22"/>
      <c r="Q24" s="19"/>
      <c r="R24" s="75">
        <f>F24</f>
        <v>0</v>
      </c>
      <c r="S24" s="76">
        <f>SUM(G24:I24)</f>
        <v>40097.730000000003</v>
      </c>
      <c r="T24" s="77">
        <f>R24-S24</f>
        <v>-40097.730000000003</v>
      </c>
      <c r="U24" s="19"/>
      <c r="V24" s="19"/>
    </row>
    <row r="25" spans="1:22" ht="20.100000000000001" customHeight="1" outlineLevel="1" x14ac:dyDescent="0.25">
      <c r="A25" s="228">
        <v>8</v>
      </c>
      <c r="B25" s="227" t="s">
        <v>323</v>
      </c>
      <c r="C25" s="227"/>
      <c r="D25" s="227"/>
      <c r="E25" s="26" t="s">
        <v>68</v>
      </c>
      <c r="F25" s="27">
        <v>1</v>
      </c>
      <c r="G25" s="27" t="e">
        <f t="shared" si="0"/>
        <v>#DIV/0!</v>
      </c>
      <c r="H25" s="27" t="e">
        <f t="shared" si="0"/>
        <v>#DIV/0!</v>
      </c>
      <c r="I25" s="27" t="e">
        <f t="shared" si="0"/>
        <v>#DIV/0!</v>
      </c>
      <c r="J25" s="22"/>
      <c r="K25" s="22"/>
      <c r="L25" s="22"/>
      <c r="M25" s="22"/>
      <c r="N25" s="22"/>
      <c r="O25" s="22"/>
      <c r="P25" s="22"/>
      <c r="Q25" s="19"/>
      <c r="R25" s="75"/>
      <c r="S25" s="76"/>
      <c r="T25" s="77"/>
      <c r="U25" s="19"/>
      <c r="V25" s="19"/>
    </row>
    <row r="26" spans="1:22" ht="20.100000000000001" customHeight="1" outlineLevel="1" x14ac:dyDescent="0.25">
      <c r="A26" s="228"/>
      <c r="B26" s="227"/>
      <c r="C26" s="227"/>
      <c r="D26" s="227"/>
      <c r="E26" s="20" t="s">
        <v>69</v>
      </c>
      <c r="F26" s="5">
        <f>'Plan. Orçamentária'!J47</f>
        <v>0</v>
      </c>
      <c r="G26" s="21">
        <v>0</v>
      </c>
      <c r="H26" s="21">
        <v>5814.56</v>
      </c>
      <c r="I26" s="21">
        <v>0</v>
      </c>
      <c r="J26" s="22"/>
      <c r="K26" s="22"/>
      <c r="L26" s="22"/>
      <c r="M26" s="22"/>
      <c r="N26" s="22"/>
      <c r="O26" s="22"/>
      <c r="P26" s="22"/>
      <c r="Q26" s="19"/>
      <c r="R26" s="80">
        <f>F26</f>
        <v>0</v>
      </c>
      <c r="S26" s="81">
        <f>SUM(G26:I26)</f>
        <v>5814.56</v>
      </c>
      <c r="T26" s="82">
        <f>R26-S26</f>
        <v>-5814.56</v>
      </c>
      <c r="U26" s="19"/>
      <c r="V26" s="19"/>
    </row>
    <row r="27" spans="1:22" ht="20.100000000000001" customHeight="1" outlineLevel="1" x14ac:dyDescent="0.25">
      <c r="A27" s="228">
        <v>9</v>
      </c>
      <c r="B27" s="227" t="s">
        <v>324</v>
      </c>
      <c r="C27" s="227"/>
      <c r="D27" s="227"/>
      <c r="E27" s="26" t="s">
        <v>68</v>
      </c>
      <c r="F27" s="27">
        <v>1</v>
      </c>
      <c r="G27" s="27" t="e">
        <f t="shared" si="0"/>
        <v>#DIV/0!</v>
      </c>
      <c r="H27" s="27" t="e">
        <f t="shared" si="0"/>
        <v>#DIV/0!</v>
      </c>
      <c r="I27" s="27" t="e">
        <f t="shared" si="0"/>
        <v>#DIV/0!</v>
      </c>
      <c r="J27" s="22"/>
      <c r="K27" s="22"/>
      <c r="L27" s="22"/>
      <c r="M27" s="22"/>
      <c r="N27" s="22"/>
      <c r="O27" s="22"/>
      <c r="P27" s="22"/>
      <c r="Q27" s="19"/>
      <c r="R27" s="75"/>
      <c r="S27" s="76"/>
      <c r="T27" s="77"/>
      <c r="U27" s="19"/>
      <c r="V27" s="19"/>
    </row>
    <row r="28" spans="1:22" ht="20.100000000000001" customHeight="1" outlineLevel="1" x14ac:dyDescent="0.25">
      <c r="A28" s="228"/>
      <c r="B28" s="227"/>
      <c r="C28" s="227"/>
      <c r="D28" s="227"/>
      <c r="E28" s="20" t="s">
        <v>69</v>
      </c>
      <c r="F28" s="5">
        <f>'Plan. Orçamentária'!J49</f>
        <v>0</v>
      </c>
      <c r="G28" s="21">
        <v>0</v>
      </c>
      <c r="H28" s="21">
        <v>0</v>
      </c>
      <c r="I28" s="21">
        <v>37541.51</v>
      </c>
      <c r="J28" s="22"/>
      <c r="K28" s="22"/>
      <c r="L28" s="22"/>
      <c r="M28" s="22"/>
      <c r="N28" s="22"/>
      <c r="O28" s="22"/>
      <c r="P28" s="22"/>
      <c r="Q28" s="19"/>
      <c r="R28" s="75">
        <f>F28</f>
        <v>0</v>
      </c>
      <c r="S28" s="76">
        <f>SUM(G28:I28)</f>
        <v>37541.51</v>
      </c>
      <c r="T28" s="77">
        <f>R28-S28</f>
        <v>-37541.51</v>
      </c>
      <c r="U28" s="19"/>
      <c r="V28" s="19"/>
    </row>
    <row r="29" spans="1:22" ht="20.100000000000001" customHeight="1" outlineLevel="1" x14ac:dyDescent="0.25">
      <c r="A29" s="228">
        <v>10</v>
      </c>
      <c r="B29" s="227" t="s">
        <v>325</v>
      </c>
      <c r="C29" s="227"/>
      <c r="D29" s="227"/>
      <c r="E29" s="26" t="s">
        <v>68</v>
      </c>
      <c r="F29" s="27">
        <v>1</v>
      </c>
      <c r="G29" s="27" t="e">
        <f t="shared" si="0"/>
        <v>#DIV/0!</v>
      </c>
      <c r="H29" s="27" t="e">
        <f t="shared" si="0"/>
        <v>#DIV/0!</v>
      </c>
      <c r="I29" s="27" t="e">
        <f t="shared" si="0"/>
        <v>#DIV/0!</v>
      </c>
      <c r="J29" s="22"/>
      <c r="K29" s="22"/>
      <c r="L29" s="22"/>
      <c r="M29" s="22"/>
      <c r="N29" s="22"/>
      <c r="O29" s="22"/>
      <c r="P29" s="22"/>
      <c r="Q29" s="19"/>
      <c r="R29" s="75"/>
      <c r="S29" s="76"/>
      <c r="T29" s="77"/>
      <c r="U29" s="19"/>
      <c r="V29" s="19"/>
    </row>
    <row r="30" spans="1:22" ht="20.100000000000001" customHeight="1" outlineLevel="1" x14ac:dyDescent="0.25">
      <c r="A30" s="228"/>
      <c r="B30" s="227"/>
      <c r="C30" s="227"/>
      <c r="D30" s="227"/>
      <c r="E30" s="20" t="s">
        <v>69</v>
      </c>
      <c r="F30" s="5">
        <f>'Plan. Orçamentária'!J50</f>
        <v>0</v>
      </c>
      <c r="G30" s="21">
        <v>0</v>
      </c>
      <c r="H30" s="21">
        <v>0</v>
      </c>
      <c r="I30" s="21">
        <v>1422.06</v>
      </c>
      <c r="J30" s="91"/>
      <c r="K30" s="92"/>
      <c r="L30" s="92"/>
      <c r="M30" s="92"/>
      <c r="N30" s="92"/>
      <c r="O30" s="92"/>
      <c r="P30" s="92"/>
      <c r="Q30" s="19"/>
      <c r="R30" s="75">
        <f>F30</f>
        <v>0</v>
      </c>
      <c r="S30" s="76">
        <f>SUM(G30:I30)</f>
        <v>1422.06</v>
      </c>
      <c r="T30" s="77">
        <f>R30-S30</f>
        <v>-1422.06</v>
      </c>
      <c r="U30" s="19"/>
      <c r="V30" s="19"/>
    </row>
    <row r="31" spans="1:22" ht="20.100000000000001" customHeight="1" outlineLevel="1" x14ac:dyDescent="0.25">
      <c r="A31" s="228">
        <v>11</v>
      </c>
      <c r="B31" s="227" t="s">
        <v>39</v>
      </c>
      <c r="C31" s="227"/>
      <c r="D31" s="227"/>
      <c r="E31" s="26" t="s">
        <v>68</v>
      </c>
      <c r="F31" s="27">
        <v>1</v>
      </c>
      <c r="G31" s="27" t="e">
        <f t="shared" si="0"/>
        <v>#DIV/0!</v>
      </c>
      <c r="H31" s="27">
        <v>0</v>
      </c>
      <c r="I31" s="27">
        <v>0</v>
      </c>
      <c r="J31" s="22"/>
      <c r="K31" s="22"/>
      <c r="L31" s="22"/>
      <c r="M31" s="22"/>
      <c r="N31" s="22"/>
      <c r="O31" s="22"/>
      <c r="P31" s="22"/>
      <c r="Q31" s="19"/>
      <c r="R31" s="75"/>
      <c r="S31" s="76"/>
      <c r="T31" s="77"/>
      <c r="U31" s="19"/>
      <c r="V31" s="19"/>
    </row>
    <row r="32" spans="1:22" ht="20.100000000000001" customHeight="1" outlineLevel="1" x14ac:dyDescent="0.25">
      <c r="A32" s="228"/>
      <c r="B32" s="227"/>
      <c r="C32" s="227"/>
      <c r="D32" s="227"/>
      <c r="E32" s="20" t="s">
        <v>69</v>
      </c>
      <c r="F32" s="5">
        <f>'Plan. Orçamentária'!J20</f>
        <v>0</v>
      </c>
      <c r="G32" s="21">
        <v>0</v>
      </c>
      <c r="H32" s="21">
        <f t="shared" ref="H32" si="2">$F$32*H31</f>
        <v>0</v>
      </c>
      <c r="I32" s="21">
        <v>8710.8700000000008</v>
      </c>
      <c r="J32" s="22"/>
      <c r="K32" s="22"/>
      <c r="L32" s="22"/>
      <c r="M32" s="22"/>
      <c r="N32" s="22"/>
      <c r="O32" s="22"/>
      <c r="P32" s="22"/>
      <c r="Q32" s="19"/>
      <c r="R32" s="75">
        <f>F32</f>
        <v>0</v>
      </c>
      <c r="S32" s="76">
        <f>SUM(G32:I32)</f>
        <v>8710.8700000000008</v>
      </c>
      <c r="T32" s="77">
        <f>R32-S32</f>
        <v>-8710.8700000000008</v>
      </c>
      <c r="U32" s="19"/>
      <c r="V32" s="19"/>
    </row>
    <row r="33" spans="1:22" ht="20.100000000000001" customHeight="1" outlineLevel="1" x14ac:dyDescent="0.25">
      <c r="A33" s="228">
        <v>12</v>
      </c>
      <c r="B33" s="227" t="s">
        <v>326</v>
      </c>
      <c r="C33" s="227"/>
      <c r="D33" s="227"/>
      <c r="E33" s="26" t="s">
        <v>68</v>
      </c>
      <c r="F33" s="27">
        <v>1</v>
      </c>
      <c r="G33" s="27" t="e">
        <f t="shared" si="0"/>
        <v>#DIV/0!</v>
      </c>
      <c r="H33" s="27">
        <v>1</v>
      </c>
      <c r="I33" s="27">
        <v>0</v>
      </c>
      <c r="J33" s="22"/>
      <c r="K33" s="22"/>
      <c r="L33" s="22"/>
      <c r="M33" s="22"/>
      <c r="N33" s="22"/>
      <c r="O33" s="22"/>
      <c r="P33" s="22"/>
      <c r="Q33" s="19"/>
      <c r="R33" s="75"/>
      <c r="S33" s="76"/>
      <c r="T33" s="77"/>
      <c r="U33" s="19"/>
      <c r="V33" s="19"/>
    </row>
    <row r="34" spans="1:22" ht="20.100000000000001" customHeight="1" outlineLevel="1" x14ac:dyDescent="0.25">
      <c r="A34" s="228"/>
      <c r="B34" s="227"/>
      <c r="C34" s="227"/>
      <c r="D34" s="227"/>
      <c r="E34" s="20" t="s">
        <v>69</v>
      </c>
      <c r="F34" s="5">
        <f>'Plan. Orçamentária'!J45+'Plan. Orçamentária'!J46+'Plan. Orçamentária'!J48</f>
        <v>0</v>
      </c>
      <c r="G34" s="21">
        <v>0</v>
      </c>
      <c r="H34" s="21"/>
      <c r="I34" s="21">
        <v>227928.76</v>
      </c>
      <c r="J34" s="22"/>
      <c r="K34" s="22"/>
      <c r="L34" s="22"/>
      <c r="M34" s="22"/>
      <c r="N34" s="22"/>
      <c r="O34" s="22"/>
      <c r="P34" s="22"/>
      <c r="Q34" s="19"/>
      <c r="R34" s="75">
        <f>F34</f>
        <v>0</v>
      </c>
      <c r="S34" s="76">
        <f>SUM(G34:I34)</f>
        <v>227928.76</v>
      </c>
      <c r="T34" s="77">
        <f>R34-S34</f>
        <v>-227928.76</v>
      </c>
      <c r="U34" s="19"/>
      <c r="V34" s="19"/>
    </row>
    <row r="35" spans="1:22" ht="20.100000000000001" customHeight="1" x14ac:dyDescent="0.25">
      <c r="A35" s="235" t="s">
        <v>51</v>
      </c>
      <c r="B35" s="235"/>
      <c r="C35" s="235"/>
      <c r="D35" s="235"/>
      <c r="E35" s="24" t="s">
        <v>68</v>
      </c>
      <c r="F35" s="25" t="e">
        <f>G35+H35+I35</f>
        <v>#DIV/0!</v>
      </c>
      <c r="G35" s="25" t="e">
        <f t="shared" ref="G35:I35" si="3">G36/$F36</f>
        <v>#DIV/0!</v>
      </c>
      <c r="H35" s="25" t="e">
        <f t="shared" si="3"/>
        <v>#DIV/0!</v>
      </c>
      <c r="I35" s="25" t="e">
        <f t="shared" si="3"/>
        <v>#DIV/0!</v>
      </c>
      <c r="J35" s="83"/>
      <c r="K35" s="83"/>
      <c r="L35" s="83"/>
      <c r="M35" s="83"/>
      <c r="N35" s="83"/>
      <c r="O35" s="83"/>
      <c r="P35" s="83"/>
      <c r="Q35" s="19"/>
      <c r="R35" s="57" t="e">
        <f t="shared" ref="R35:R36" si="4">F35</f>
        <v>#DIV/0!</v>
      </c>
      <c r="S35" s="57" t="e">
        <f t="shared" ref="S35" si="5">SUM(G35:O35)</f>
        <v>#DIV/0!</v>
      </c>
      <c r="T35" s="57" t="e">
        <f t="shared" ref="T35:T36" si="6">R35-S35</f>
        <v>#DIV/0!</v>
      </c>
      <c r="U35" s="19"/>
      <c r="V35" s="19"/>
    </row>
    <row r="36" spans="1:22" ht="20.100000000000001" customHeight="1" x14ac:dyDescent="0.25">
      <c r="A36" s="235"/>
      <c r="B36" s="235"/>
      <c r="C36" s="235"/>
      <c r="D36" s="235"/>
      <c r="E36" s="24" t="s">
        <v>69</v>
      </c>
      <c r="F36" s="74">
        <f>F12+F14+F16+F18+F20+F22+F24+F26+F28+F30+F32+F34</f>
        <v>0</v>
      </c>
      <c r="G36" s="84">
        <f>G12+G14+G16+G18+G20+G22+G24+G26+G28+G30+G32+G34</f>
        <v>45143.58</v>
      </c>
      <c r="H36" s="84">
        <f t="shared" ref="H36:I36" si="7">H12+H14+H16+H18+H20+H22+H24+H26+H28+H30+H32+H34</f>
        <v>159295.79999999999</v>
      </c>
      <c r="I36" s="84">
        <f t="shared" si="7"/>
        <v>294607.59999999998</v>
      </c>
      <c r="J36" s="85"/>
      <c r="K36" s="85"/>
      <c r="L36" s="85"/>
      <c r="M36" s="85"/>
      <c r="N36" s="85"/>
      <c r="O36" s="85"/>
      <c r="P36" s="85"/>
      <c r="Q36" s="19"/>
      <c r="R36" s="23">
        <f t="shared" si="4"/>
        <v>0</v>
      </c>
      <c r="S36" s="23">
        <f>'Plan. Orçamentária'!J52</f>
        <v>0</v>
      </c>
      <c r="T36" s="23">
        <f t="shared" si="6"/>
        <v>0</v>
      </c>
      <c r="U36" s="19"/>
      <c r="V36" s="19"/>
    </row>
  </sheetData>
  <mergeCells count="48">
    <mergeCell ref="A35:D36"/>
    <mergeCell ref="A11:A12"/>
    <mergeCell ref="B11:D12"/>
    <mergeCell ref="A13:A14"/>
    <mergeCell ref="B13:D14"/>
    <mergeCell ref="A15:A16"/>
    <mergeCell ref="B15:D16"/>
    <mergeCell ref="A17:A18"/>
    <mergeCell ref="B17:D18"/>
    <mergeCell ref="A19:A20"/>
    <mergeCell ref="B19:D20"/>
    <mergeCell ref="A21:A22"/>
    <mergeCell ref="B21:D22"/>
    <mergeCell ref="A23:A24"/>
    <mergeCell ref="B23:D24"/>
    <mergeCell ref="A25:A26"/>
    <mergeCell ref="A8:P8"/>
    <mergeCell ref="A9:A10"/>
    <mergeCell ref="B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A1:P3"/>
    <mergeCell ref="A4:P4"/>
    <mergeCell ref="A6:A7"/>
    <mergeCell ref="B6:M7"/>
    <mergeCell ref="N6:N7"/>
    <mergeCell ref="O6:O7"/>
    <mergeCell ref="P6:P7"/>
    <mergeCell ref="A5:P5"/>
    <mergeCell ref="B25:D26"/>
    <mergeCell ref="A31:A32"/>
    <mergeCell ref="B31:D32"/>
    <mergeCell ref="A33:A34"/>
    <mergeCell ref="B33:D34"/>
    <mergeCell ref="A27:A28"/>
    <mergeCell ref="B27:D28"/>
    <mergeCell ref="A29:A30"/>
    <mergeCell ref="B29:D30"/>
  </mergeCells>
  <pageMargins left="0.19685039370078741" right="0.19685039370078741" top="0.19685039370078741" bottom="1.1811023622047245" header="0.31496062992125984" footer="0.31496062992125984"/>
  <pageSetup paperSize="9" scale="73" fitToHeight="0" orientation="landscape" verticalDpi="4294967295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11</vt:i4>
      </vt:variant>
    </vt:vector>
  </HeadingPairs>
  <TitlesOfParts>
    <vt:vector size="17" baseType="lpstr">
      <vt:lpstr>Plan. Orçamentária (2)</vt:lpstr>
      <vt:lpstr>Plan. Orçamentária</vt:lpstr>
      <vt:lpstr>Mem. Cálc. - P.O</vt:lpstr>
      <vt:lpstr>C.P.U.</vt:lpstr>
      <vt:lpstr>BDI</vt:lpstr>
      <vt:lpstr>Cronograma Fis-Fin</vt:lpstr>
      <vt:lpstr>BDI!Area_de_impressao</vt:lpstr>
      <vt:lpstr>C.P.U.!Area_de_impressao</vt:lpstr>
      <vt:lpstr>'Cronograma Fis-Fin'!Area_de_impressao</vt:lpstr>
      <vt:lpstr>'Mem. Cálc. - P.O'!Area_de_impressao</vt:lpstr>
      <vt:lpstr>'Plan. Orçamentária'!Area_de_impressao</vt:lpstr>
      <vt:lpstr>'Plan. Orçamentária (2)'!Area_de_impressao</vt:lpstr>
      <vt:lpstr>C.P.U.!Titulos_de_impressao</vt:lpstr>
      <vt:lpstr>'Cronograma Fis-Fin'!Titulos_de_impressao</vt:lpstr>
      <vt:lpstr>'Mem. Cálc. - P.O'!Titulos_de_impressao</vt:lpstr>
      <vt:lpstr>'Plan. Orçamentária'!Titulos_de_impressao</vt:lpstr>
      <vt:lpstr>'Plan. Orçamentária (2)'!Titulos_de_impressao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2022-10-26T13:51:59Z</dcterms:modified>
</cp:coreProperties>
</file>